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01ac01prd\agi\doctype\ARCHITECTURE\_Processus marchés de services\_Processus et doctypes\1 Etapes préalables\"/>
    </mc:Choice>
  </mc:AlternateContent>
  <bookViews>
    <workbookView xWindow="1320" yWindow="840" windowWidth="20610" windowHeight="9375" tabRatio="785" activeTab="7"/>
  </bookViews>
  <sheets>
    <sheet name="MODE D'EMPLOI" sheetId="19" r:id="rId1"/>
    <sheet name="Résumé" sheetId="20" r:id="rId2"/>
    <sheet name="Détail" sheetId="11" r:id="rId3"/>
    <sheet name="Calcul Dédommagement" sheetId="10" r:id="rId4"/>
    <sheet name="Intégration Oeuvre d'Art" sheetId="18" r:id="rId5"/>
    <sheet name="Honor-Cat 1" sheetId="13" r:id="rId6"/>
    <sheet name="Honor-Cat 2" sheetId="14" r:id="rId7"/>
    <sheet name="Honor-Cat 3" sheetId="15" r:id="rId8"/>
    <sheet name="Honor-Cat 4" sheetId="16" r:id="rId9"/>
    <sheet name="Honor-Cat 5" sheetId="17" r:id="rId10"/>
  </sheets>
  <definedNames>
    <definedName name="Print_Area" localSheetId="3">'Calcul Dédommagement'!$B$3:$H$41</definedName>
    <definedName name="Print_Area" localSheetId="2">Détail!$A$1:$F$69</definedName>
    <definedName name="Print_Area" localSheetId="4">'Intégration Oeuvre d''Art'!$B$3:$G$25</definedName>
    <definedName name="Print_Area" localSheetId="0">'MODE D''EMPLOI'!$A$2:$B$33</definedName>
  </definedNames>
  <calcPr calcId="152511"/>
</workbook>
</file>

<file path=xl/calcChain.xml><?xml version="1.0" encoding="utf-8"?>
<calcChain xmlns="http://schemas.openxmlformats.org/spreadsheetml/2006/main">
  <c r="E10" i="10" l="1"/>
  <c r="C37" i="11" l="1"/>
  <c r="D37" i="11" s="1"/>
  <c r="D35" i="11"/>
  <c r="B7" i="17" l="1"/>
  <c r="B7" i="16"/>
  <c r="B7" i="15"/>
  <c r="B7" i="14"/>
  <c r="B7" i="13"/>
  <c r="E7" i="18"/>
  <c r="E7" i="10"/>
  <c r="C43" i="11"/>
  <c r="C47" i="11"/>
  <c r="C45" i="11"/>
  <c r="C29" i="11" l="1"/>
  <c r="C28" i="11"/>
  <c r="C25" i="11" l="1"/>
  <c r="D61" i="11" l="1"/>
  <c r="D60" i="11"/>
  <c r="D59" i="11"/>
  <c r="D58" i="11"/>
  <c r="D57" i="11"/>
  <c r="D52" i="11"/>
  <c r="D51" i="11"/>
  <c r="D49" i="11"/>
  <c r="D40" i="11"/>
  <c r="D41" i="11"/>
  <c r="D29" i="11"/>
  <c r="D30" i="11"/>
  <c r="D31" i="11"/>
  <c r="D32" i="11"/>
  <c r="D28" i="11"/>
  <c r="D23" i="11"/>
  <c r="D26" i="11"/>
  <c r="D24" i="11"/>
  <c r="D25" i="11"/>
  <c r="D22" i="11"/>
  <c r="A1" i="20" l="1"/>
  <c r="A22" i="20" l="1"/>
  <c r="A19" i="20"/>
  <c r="A16" i="20"/>
  <c r="A13" i="20"/>
  <c r="A10" i="20"/>
  <c r="A7" i="20"/>
  <c r="E22" i="11" l="1"/>
  <c r="C42" i="11" l="1"/>
  <c r="D42" i="11" s="1"/>
  <c r="D19" i="11" l="1"/>
  <c r="A8" i="20" s="1"/>
  <c r="C8" i="20" l="1"/>
  <c r="C31" i="11" l="1"/>
  <c r="E23" i="11" l="1"/>
  <c r="E13" i="10"/>
  <c r="C56" i="11"/>
  <c r="E49" i="11"/>
  <c r="E35" i="11"/>
  <c r="E37" i="11"/>
  <c r="E51" i="11"/>
  <c r="E26" i="11"/>
  <c r="E52" i="11"/>
  <c r="E20" i="11"/>
  <c r="E19" i="11" s="1"/>
  <c r="E24" i="11"/>
  <c r="D21" i="11"/>
  <c r="A11" i="20" s="1"/>
  <c r="E28" i="11"/>
  <c r="E29" i="11"/>
  <c r="C30" i="11"/>
  <c r="E30" i="11" s="1"/>
  <c r="E31" i="11"/>
  <c r="E32" i="11"/>
  <c r="E41" i="11"/>
  <c r="E40" i="11"/>
  <c r="C3" i="15"/>
  <c r="A3" i="15"/>
  <c r="C3" i="16"/>
  <c r="A3" i="16"/>
  <c r="C3" i="17"/>
  <c r="A3" i="17"/>
  <c r="C3" i="14"/>
  <c r="A3" i="14"/>
  <c r="C3" i="13"/>
  <c r="A3" i="13"/>
  <c r="D2" i="18"/>
  <c r="C2" i="18"/>
  <c r="D2" i="10"/>
  <c r="C2" i="10"/>
  <c r="E12" i="18"/>
  <c r="D12" i="18"/>
  <c r="D71" i="11"/>
  <c r="E57" i="11"/>
  <c r="E58" i="11"/>
  <c r="E59" i="11"/>
  <c r="E60" i="11"/>
  <c r="E61" i="11"/>
  <c r="E42" i="11"/>
  <c r="C11" i="20" l="1"/>
  <c r="D70" i="11"/>
  <c r="E11" i="10"/>
  <c r="E25" i="11"/>
  <c r="E21" i="11" s="1"/>
  <c r="E18" i="10"/>
  <c r="F18" i="10" s="1"/>
  <c r="E20" i="10"/>
  <c r="F20" i="10" s="1"/>
  <c r="E22" i="10"/>
  <c r="F22" i="10" s="1"/>
  <c r="E19" i="10"/>
  <c r="F19" i="10" s="1"/>
  <c r="E21" i="10"/>
  <c r="F21" i="10" s="1"/>
  <c r="H22" i="10" l="1"/>
  <c r="F23" i="10"/>
  <c r="F34" i="10" s="1"/>
  <c r="F24" i="10" l="1"/>
  <c r="F33" i="10"/>
  <c r="F36" i="10" l="1"/>
  <c r="C36" i="11" l="1"/>
  <c r="C33" i="11"/>
  <c r="D33" i="11" l="1"/>
  <c r="D27" i="11" s="1"/>
  <c r="A14" i="20" s="1"/>
  <c r="D36" i="11"/>
  <c r="E36" i="11" s="1"/>
  <c r="E34" i="11" s="1"/>
  <c r="E33" i="11" l="1"/>
  <c r="E27" i="11" s="1"/>
  <c r="E14" i="20"/>
  <c r="D34" i="11"/>
  <c r="A17" i="20" s="1"/>
  <c r="F17" i="20" l="1"/>
  <c r="G17" i="20"/>
  <c r="H17" i="20"/>
  <c r="D44" i="11" l="1"/>
  <c r="E44" i="11" s="1"/>
  <c r="F37" i="10"/>
  <c r="C39" i="11"/>
  <c r="B14" i="11" s="1"/>
  <c r="C54" i="11"/>
  <c r="D54" i="11" s="1"/>
  <c r="E54" i="11" s="1"/>
  <c r="D47" i="11"/>
  <c r="E47" i="11" s="1"/>
  <c r="E7" i="16"/>
  <c r="D7" i="14"/>
  <c r="C7" i="14"/>
  <c r="E10" i="18"/>
  <c r="E15" i="18" s="1"/>
  <c r="F15" i="18" s="1"/>
  <c r="D43" i="11"/>
  <c r="E8" i="10" s="1"/>
  <c r="E43" i="11"/>
  <c r="D7" i="13"/>
  <c r="C7" i="13"/>
  <c r="G7" i="17"/>
  <c r="D45" i="11"/>
  <c r="E45" i="11" s="1"/>
  <c r="J67" i="15"/>
  <c r="C7" i="15"/>
  <c r="E38" i="11" l="1"/>
  <c r="C7" i="17"/>
  <c r="F17" i="14"/>
  <c r="G17" i="14" s="1"/>
  <c r="A17" i="16"/>
  <c r="B17" i="16" s="1"/>
  <c r="D38" i="11"/>
  <c r="A20" i="20" s="1"/>
  <c r="C7" i="16"/>
  <c r="K8" i="17"/>
  <c r="E18" i="18"/>
  <c r="F18" i="18" s="1"/>
  <c r="E8" i="18"/>
  <c r="F10" i="10"/>
  <c r="J64" i="17"/>
  <c r="J65" i="17"/>
  <c r="J66" i="16"/>
  <c r="J64" i="16"/>
  <c r="J65" i="13"/>
  <c r="J64" i="13"/>
  <c r="J66" i="13"/>
  <c r="G7" i="14"/>
  <c r="J67" i="14"/>
  <c r="J64" i="14"/>
  <c r="D7" i="15"/>
  <c r="J66" i="15"/>
  <c r="J63" i="15"/>
  <c r="A17" i="14"/>
  <c r="B17" i="14" s="1"/>
  <c r="A17" i="15"/>
  <c r="B17" i="15" s="1"/>
  <c r="E16" i="18"/>
  <c r="F16" i="18" s="1"/>
  <c r="E17" i="18"/>
  <c r="F17" i="18" s="1"/>
  <c r="J66" i="17"/>
  <c r="H7" i="17"/>
  <c r="E7" i="17"/>
  <c r="H7" i="16"/>
  <c r="D7" i="16"/>
  <c r="J65" i="16"/>
  <c r="E7" i="13"/>
  <c r="J63" i="14"/>
  <c r="H7" i="14"/>
  <c r="K8" i="15"/>
  <c r="F7" i="15"/>
  <c r="H7" i="15"/>
  <c r="A17" i="13"/>
  <c r="B17" i="13" s="1"/>
  <c r="D39" i="11"/>
  <c r="E39" i="11" s="1"/>
  <c r="F25" i="10"/>
  <c r="J67" i="17"/>
  <c r="D7" i="17"/>
  <c r="F7" i="16"/>
  <c r="J63" i="16"/>
  <c r="K8" i="16"/>
  <c r="F7" i="13"/>
  <c r="G7" i="13"/>
  <c r="K8" i="13"/>
  <c r="J65" i="14"/>
  <c r="K8" i="14"/>
  <c r="F7" i="14"/>
  <c r="E7" i="15"/>
  <c r="J64" i="15"/>
  <c r="G7" i="15"/>
  <c r="F17" i="13"/>
  <c r="G17" i="13" s="1"/>
  <c r="A17" i="17"/>
  <c r="B17" i="17" s="1"/>
  <c r="F17" i="17"/>
  <c r="G17" i="17" s="1"/>
  <c r="F17" i="16"/>
  <c r="G17" i="16" s="1"/>
  <c r="F17" i="15"/>
  <c r="G17" i="15" s="1"/>
  <c r="F7" i="17"/>
  <c r="J67" i="16"/>
  <c r="G7" i="16"/>
  <c r="H7" i="13"/>
  <c r="J67" i="13"/>
  <c r="J66" i="14"/>
  <c r="E7" i="14"/>
  <c r="J65" i="15"/>
  <c r="J68" i="15"/>
  <c r="I7" i="14" l="1"/>
  <c r="K7" i="14" s="1"/>
  <c r="I7" i="13"/>
  <c r="K7" i="13" s="1"/>
  <c r="F19" i="18"/>
  <c r="F20" i="18" s="1"/>
  <c r="I7" i="15"/>
  <c r="K7" i="15" s="1"/>
  <c r="J7" i="15" s="1"/>
  <c r="J7" i="14"/>
  <c r="J7" i="13"/>
  <c r="H17" i="13"/>
  <c r="I17" i="13" s="1"/>
  <c r="C17" i="16"/>
  <c r="D17" i="16" s="1"/>
  <c r="C18" i="16" s="1"/>
  <c r="H17" i="15"/>
  <c r="I17" i="15" s="1"/>
  <c r="H17" i="16"/>
  <c r="I17" i="16" s="1"/>
  <c r="C17" i="15"/>
  <c r="D17" i="15" s="1"/>
  <c r="C18" i="15" s="1"/>
  <c r="I7" i="16"/>
  <c r="K7" i="16" s="1"/>
  <c r="H17" i="14"/>
  <c r="I17" i="14" s="1"/>
  <c r="H17" i="17"/>
  <c r="I17" i="17" s="1"/>
  <c r="C17" i="13"/>
  <c r="D17" i="13" s="1"/>
  <c r="C18" i="13" s="1"/>
  <c r="C17" i="14"/>
  <c r="D17" i="14" s="1"/>
  <c r="C18" i="14" s="1"/>
  <c r="I7" i="17"/>
  <c r="K7" i="17" s="1"/>
  <c r="C17" i="17"/>
  <c r="D17" i="17" s="1"/>
  <c r="C18" i="17" s="1"/>
  <c r="H20" i="20"/>
  <c r="C53" i="11" l="1"/>
  <c r="D53" i="11" s="1"/>
  <c r="J17" i="17"/>
  <c r="K17" i="17" s="1"/>
  <c r="K61" i="17" s="1"/>
  <c r="K68" i="17" s="1"/>
  <c r="H18" i="17"/>
  <c r="H18" i="16"/>
  <c r="J17" i="16"/>
  <c r="K17" i="16" s="1"/>
  <c r="K61" i="16" s="1"/>
  <c r="J17" i="13"/>
  <c r="K17" i="13" s="1"/>
  <c r="K61" i="13" s="1"/>
  <c r="H18" i="13"/>
  <c r="J17" i="14"/>
  <c r="K17" i="14" s="1"/>
  <c r="K61" i="14" s="1"/>
  <c r="H18" i="14"/>
  <c r="H18" i="15"/>
  <c r="J17" i="15"/>
  <c r="K17" i="15" s="1"/>
  <c r="K61" i="15" s="1"/>
  <c r="J7" i="17"/>
  <c r="J7" i="16"/>
  <c r="J61" i="16" s="1"/>
  <c r="J68" i="16" s="1"/>
  <c r="D50" i="11" l="1"/>
  <c r="A23" i="20" s="1"/>
  <c r="E53" i="11"/>
  <c r="E50" i="11" s="1"/>
  <c r="E63" i="11" s="1"/>
  <c r="D72" i="11" s="1"/>
  <c r="D73" i="11" s="1"/>
  <c r="J61" i="14"/>
  <c r="J68" i="14" s="1"/>
  <c r="J61" i="17"/>
  <c r="J68" i="17" s="1"/>
  <c r="K72" i="17"/>
  <c r="K70" i="15"/>
  <c r="K68" i="13"/>
  <c r="K70" i="13" s="1"/>
  <c r="K68" i="16"/>
  <c r="J61" i="15"/>
  <c r="J70" i="15" s="1"/>
  <c r="J61" i="13"/>
  <c r="J68" i="13" s="1"/>
  <c r="K68" i="14"/>
  <c r="D68" i="11" l="1"/>
  <c r="F23" i="20"/>
  <c r="A26" i="20"/>
  <c r="L70" i="13"/>
  <c r="L68" i="13"/>
  <c r="K71" i="13"/>
  <c r="K71" i="15"/>
  <c r="L74" i="17"/>
  <c r="K73" i="17"/>
  <c r="K72" i="16"/>
  <c r="K70" i="14"/>
  <c r="L72" i="16" l="1"/>
  <c r="K73" i="16"/>
  <c r="L69" i="17"/>
  <c r="L66" i="17"/>
  <c r="L65" i="17"/>
  <c r="L64" i="17"/>
  <c r="L67" i="17"/>
  <c r="L8" i="17"/>
  <c r="L17" i="17"/>
  <c r="L7" i="17"/>
  <c r="L70" i="17"/>
  <c r="M17" i="17"/>
  <c r="L68" i="17"/>
  <c r="L70" i="14"/>
  <c r="K71" i="14"/>
  <c r="L71" i="15"/>
  <c r="K72" i="15"/>
  <c r="L64" i="13"/>
  <c r="L66" i="13"/>
  <c r="L65" i="13"/>
  <c r="L67" i="13"/>
  <c r="L7" i="13"/>
  <c r="L17" i="13"/>
  <c r="L61" i="13"/>
  <c r="M17" i="13"/>
  <c r="L65" i="15" l="1"/>
  <c r="L67" i="15"/>
  <c r="L66" i="15"/>
  <c r="L68" i="15"/>
  <c r="L64" i="15"/>
  <c r="L7" i="15"/>
  <c r="L17" i="15"/>
  <c r="L61" i="15"/>
  <c r="M17" i="15"/>
  <c r="L70" i="15"/>
  <c r="L63" i="15" s="1"/>
  <c r="L63" i="14"/>
  <c r="L66" i="14"/>
  <c r="L65" i="14"/>
  <c r="L64" i="14"/>
  <c r="L67" i="14"/>
  <c r="L7" i="14"/>
  <c r="L17" i="14"/>
  <c r="M17" i="14"/>
  <c r="L61" i="14"/>
  <c r="L68" i="14"/>
  <c r="M70" i="17"/>
  <c r="L63" i="16"/>
  <c r="L66" i="16"/>
  <c r="L65" i="16"/>
  <c r="L64" i="16"/>
  <c r="L67" i="16"/>
  <c r="L7" i="16"/>
  <c r="L17" i="16"/>
  <c r="M17" i="16"/>
  <c r="L61" i="16"/>
  <c r="L68" i="16"/>
</calcChain>
</file>

<file path=xl/comments1.xml><?xml version="1.0" encoding="utf-8"?>
<comments xmlns="http://schemas.openxmlformats.org/spreadsheetml/2006/main">
  <authors>
    <author>guissa01</author>
    <author>Cellule architecture</author>
  </authors>
  <commentList>
    <comment ref="B14" authorId="0" shapeId="0">
      <text>
        <r>
          <rPr>
            <b/>
            <sz val="8"/>
            <color indexed="81"/>
            <rFont val="Tahoma"/>
            <family val="2"/>
          </rPr>
          <t xml:space="preserve">Attention: 
A vérifier : </t>
        </r>
        <r>
          <rPr>
            <sz val="8"/>
            <color indexed="81"/>
            <rFont val="Tahoma"/>
            <family val="2"/>
          </rPr>
          <t xml:space="preserve">Le prix HTVA au mètre carré BRUT construit devrait se situer entre (estimations 2024):
</t>
        </r>
        <r>
          <rPr>
            <b/>
            <sz val="8"/>
            <color indexed="81"/>
            <rFont val="Tahoma"/>
            <family val="2"/>
          </rPr>
          <t>1500</t>
        </r>
        <r>
          <rPr>
            <sz val="8"/>
            <color indexed="81"/>
            <rFont val="Tahoma"/>
            <family val="2"/>
          </rPr>
          <t xml:space="preserve"> euros/m² &gt; rénovation ponctuelle dans bâtiment « de bonne facture » 
</t>
        </r>
        <r>
          <rPr>
            <b/>
            <sz val="8"/>
            <color indexed="81"/>
            <rFont val="Tahoma"/>
            <family val="2"/>
          </rPr>
          <t>2200</t>
        </r>
        <r>
          <rPr>
            <sz val="8"/>
            <color indexed="81"/>
            <rFont val="Tahoma"/>
            <family val="2"/>
          </rPr>
          <t xml:space="preserve"> euros/m² &gt; construction ou rénovation lourde avec peu de finitions, programme simple, pas de travaux substantiels de stabilité
</t>
        </r>
        <r>
          <rPr>
            <b/>
            <sz val="8"/>
            <color indexed="81"/>
            <rFont val="Tahoma"/>
            <family val="2"/>
          </rPr>
          <t>2600</t>
        </r>
        <r>
          <rPr>
            <sz val="8"/>
            <color indexed="81"/>
            <rFont val="Tahoma"/>
            <family val="2"/>
          </rPr>
          <t xml:space="preserve"> euros/m² &gt; construction ou rénovation lourde avec finitions moyennes, programme simple, pas de travaux substantiels de stabilité
</t>
        </r>
        <r>
          <rPr>
            <b/>
            <sz val="8"/>
            <color indexed="81"/>
            <rFont val="Tahoma"/>
            <family val="2"/>
          </rPr>
          <t>3000</t>
        </r>
        <r>
          <rPr>
            <sz val="8"/>
            <color indexed="81"/>
            <rFont val="Tahoma"/>
            <family val="2"/>
          </rPr>
          <t xml:space="preserve"> euros/m² &gt; construction ou rénovation lourde avec finitions complètes et ambitions energetiques horizon 2050
</t>
        </r>
        <r>
          <rPr>
            <b/>
            <sz val="8"/>
            <color indexed="81"/>
            <rFont val="Tahoma"/>
            <family val="2"/>
          </rPr>
          <t>3250</t>
        </r>
        <r>
          <rPr>
            <sz val="8"/>
            <color indexed="81"/>
            <rFont val="Tahoma"/>
            <family val="2"/>
          </rPr>
          <t xml:space="preserve"> euros/m² &gt; restauration d'un bâtiment classé, équipement culturel, scénographie et/ou gros travaux de stabilité</t>
        </r>
      </text>
    </comment>
    <comment ref="B16" authorId="1" shapeId="0">
      <text>
        <r>
          <rPr>
            <b/>
            <sz val="9"/>
            <color indexed="81"/>
            <rFont val="Tahoma"/>
            <family val="2"/>
          </rPr>
          <t>Cellule architecture:</t>
        </r>
        <r>
          <rPr>
            <sz val="9"/>
            <color indexed="81"/>
            <rFont val="Tahoma"/>
            <family val="2"/>
          </rPr>
          <t xml:space="preserve">
</t>
        </r>
        <r>
          <rPr>
            <sz val="8"/>
            <color indexed="81"/>
            <rFont val="Tahoma"/>
            <family val="2"/>
          </rPr>
          <t xml:space="preserve">Pour l'aménagement d'abords, le prix HTVA varie généralement entre 75 et 300 euros/m²  (estimations 2024).
- </t>
        </r>
        <r>
          <rPr>
            <b/>
            <sz val="8"/>
            <color indexed="81"/>
            <rFont val="Tahoma"/>
            <family val="2"/>
          </rPr>
          <t>75</t>
        </r>
        <r>
          <rPr>
            <sz val="8"/>
            <color indexed="81"/>
            <rFont val="Tahoma"/>
            <family val="2"/>
          </rPr>
          <t xml:space="preserve"> euros/m²: aménagement léger: sentiers, prairies, gazons…
- </t>
        </r>
        <r>
          <rPr>
            <b/>
            <sz val="8"/>
            <color indexed="81"/>
            <rFont val="Tahoma"/>
            <family val="2"/>
          </rPr>
          <t>250</t>
        </r>
        <r>
          <rPr>
            <sz val="8"/>
            <color indexed="81"/>
            <rFont val="Tahoma"/>
            <family val="2"/>
          </rPr>
          <t xml:space="preserve"> euros/m²: espace public (piéton) structuré, davantage minéral, avec quelques plantations ponctuelles.
- </t>
        </r>
        <r>
          <rPr>
            <b/>
            <sz val="8"/>
            <color indexed="81"/>
            <rFont val="Tahoma"/>
            <family val="2"/>
          </rPr>
          <t>3000</t>
        </r>
        <r>
          <rPr>
            <sz val="8"/>
            <color indexed="81"/>
            <rFont val="Tahoma"/>
            <family val="2"/>
          </rPr>
          <t xml:space="preserve"> euros /</t>
        </r>
        <r>
          <rPr>
            <u/>
            <sz val="8"/>
            <color indexed="81"/>
            <rFont val="Tahoma"/>
            <family val="2"/>
          </rPr>
          <t>place</t>
        </r>
        <r>
          <rPr>
            <sz val="8"/>
            <color indexed="81"/>
            <rFont val="Tahoma"/>
            <family val="2"/>
          </rPr>
          <t xml:space="preserve"> : parking: minéral et fortement stabilisé avec un peu d'attention (végétalisation)
Ici un prix moyen de 150 e/m² est encodé.</t>
        </r>
      </text>
    </comment>
    <comment ref="C26" authorId="1" shapeId="0">
      <text>
        <r>
          <rPr>
            <b/>
            <sz val="9"/>
            <color indexed="81"/>
            <rFont val="Tahoma"/>
            <family val="2"/>
          </rPr>
          <t>Cellule architecture:</t>
        </r>
        <r>
          <rPr>
            <sz val="9"/>
            <color indexed="81"/>
            <rFont val="Tahoma"/>
            <family val="2"/>
          </rPr>
          <t xml:space="preserve">
Concrene les bâtimenst qui doivent </t>
        </r>
        <r>
          <rPr>
            <u/>
            <sz val="9"/>
            <color indexed="81"/>
            <rFont val="Tahoma"/>
            <family val="2"/>
          </rPr>
          <t>absolument</t>
        </r>
        <r>
          <rPr>
            <sz val="9"/>
            <color indexed="81"/>
            <rFont val="Tahoma"/>
            <family val="2"/>
          </rPr>
          <t xml:space="preserve"> être démolis (et ne peuvent pas être reutilisés ou valorisés dans le cadre du projet architectural). 
Compter 200 euros HTVA/mètre cube de bâtiment. Hors risques évacuation amiante etc.</t>
        </r>
      </text>
    </comment>
    <comment ref="B35" authorId="1" shapeId="0">
      <text>
        <r>
          <rPr>
            <b/>
            <sz val="9"/>
            <color indexed="81"/>
            <rFont val="Tahoma"/>
            <family val="2"/>
          </rPr>
          <t>Cellule architecture:</t>
        </r>
        <r>
          <rPr>
            <sz val="9"/>
            <color indexed="81"/>
            <rFont val="Tahoma"/>
            <family val="2"/>
          </rPr>
          <t xml:space="preserve">
La possibilité de facturer une certaine partie des honoraires (par ex 15%) avec un taux de TVA réduit (6%) dans le cadre de la cession des droits d'auteurs peit être envisagée et convenur de commun accord avec le maître de l'ouvrage. Mais dans l'attente d'un accord, 21% sont appliqués au niveua de l'estimation par prudence.</t>
        </r>
      </text>
    </comment>
    <comment ref="C35" authorId="1" shapeId="0">
      <text>
        <r>
          <rPr>
            <b/>
            <sz val="10"/>
            <color indexed="81"/>
            <rFont val="Tahoma"/>
            <family val="2"/>
          </rPr>
          <t>Cellule architecture:</t>
        </r>
        <r>
          <rPr>
            <sz val="10"/>
            <color indexed="81"/>
            <rFont val="Tahoma"/>
            <family val="2"/>
          </rPr>
          <t xml:space="preserve">
Case à lier ("=") avec la case verte de l'onglet Honor-x (honoraires) complété.</t>
        </r>
      </text>
    </comment>
    <comment ref="B37" authorId="1" shapeId="0">
      <text>
        <r>
          <rPr>
            <b/>
            <sz val="9"/>
            <color indexed="81"/>
            <rFont val="Tahoma"/>
            <family val="2"/>
          </rPr>
          <t>Cellule architecture:</t>
        </r>
        <r>
          <rPr>
            <sz val="9"/>
            <color indexed="81"/>
            <rFont val="Tahoma"/>
            <family val="2"/>
          </rPr>
          <t xml:space="preserve">
IDEM</t>
        </r>
      </text>
    </comment>
  </commentList>
</comments>
</file>

<file path=xl/comments2.xml><?xml version="1.0" encoding="utf-8"?>
<comments xmlns="http://schemas.openxmlformats.org/spreadsheetml/2006/main">
  <authors>
    <author>Cellule architecture</author>
    <author>guissa01</author>
  </authors>
  <commentList>
    <comment ref="J63" authorId="0" shapeId="0">
      <text>
        <r>
          <rPr>
            <b/>
            <sz val="9"/>
            <color indexed="81"/>
            <rFont val="Tahoma"/>
            <family val="2"/>
          </rPr>
          <t>Cellule architecture:</t>
        </r>
        <r>
          <rPr>
            <sz val="9"/>
            <color indexed="81"/>
            <rFont val="Tahoma"/>
            <family val="2"/>
          </rPr>
          <t xml:space="preserve">
Vérifier si les honoraires d'architecte sont suffisamment élevés pour reprendre la misssion de conseil mobilier pour le mobilier non repris dans le budget des travaux.</t>
        </r>
      </text>
    </comment>
    <comment ref="K70" authorId="1" shapeId="0">
      <text>
        <r>
          <rPr>
            <b/>
            <sz val="9"/>
            <color indexed="81"/>
            <rFont val="Tahoma"/>
            <family val="2"/>
          </rPr>
          <t>guissa01:</t>
        </r>
        <r>
          <rPr>
            <sz val="9"/>
            <color indexed="81"/>
            <rFont val="Tahoma"/>
            <family val="2"/>
          </rPr>
          <t xml:space="preserve">
formule d'arrondissement arithmétique. Vous pouvez aussi décider d'entrer d'entrer un autre taux final souhaité</t>
        </r>
      </text>
    </comment>
  </commentList>
</comments>
</file>

<file path=xl/comments3.xml><?xml version="1.0" encoding="utf-8"?>
<comments xmlns="http://schemas.openxmlformats.org/spreadsheetml/2006/main">
  <authors>
    <author>guissa01</author>
  </authors>
  <commentList>
    <comment ref="K70" authorId="0" shapeId="0">
      <text>
        <r>
          <rPr>
            <b/>
            <sz val="9"/>
            <color indexed="81"/>
            <rFont val="Tahoma"/>
            <family val="2"/>
          </rPr>
          <t>guissa01:</t>
        </r>
        <r>
          <rPr>
            <sz val="9"/>
            <color indexed="81"/>
            <rFont val="Tahoma"/>
            <family val="2"/>
          </rPr>
          <t xml:space="preserve">
formule d'arrondissement arithmétique. Vous pouvez aussi décider d'entrer d'entrer un autre taux final souhaité</t>
        </r>
      </text>
    </comment>
  </commentList>
</comments>
</file>

<file path=xl/comments4.xml><?xml version="1.0" encoding="utf-8"?>
<comments xmlns="http://schemas.openxmlformats.org/spreadsheetml/2006/main">
  <authors>
    <author>guissa01</author>
  </authors>
  <commentList>
    <comment ref="K71" authorId="0" shapeId="0">
      <text>
        <r>
          <rPr>
            <b/>
            <sz val="9"/>
            <color indexed="81"/>
            <rFont val="Tahoma"/>
            <family val="2"/>
          </rPr>
          <t>guissa01:</t>
        </r>
        <r>
          <rPr>
            <sz val="9"/>
            <color indexed="81"/>
            <rFont val="Tahoma"/>
            <family val="2"/>
          </rPr>
          <t xml:space="preserve">
formule d'arrondissement arithmétique. Vous pouvez aussi décider d'entrer d'entrer un autre taux final souhaité</t>
        </r>
      </text>
    </comment>
  </commentList>
</comments>
</file>

<file path=xl/comments5.xml><?xml version="1.0" encoding="utf-8"?>
<comments xmlns="http://schemas.openxmlformats.org/spreadsheetml/2006/main">
  <authors>
    <author>guissa01</author>
  </authors>
  <commentList>
    <comment ref="K72" authorId="0" shapeId="0">
      <text>
        <r>
          <rPr>
            <b/>
            <sz val="9"/>
            <color indexed="81"/>
            <rFont val="Tahoma"/>
            <family val="2"/>
          </rPr>
          <t>guissa01:</t>
        </r>
        <r>
          <rPr>
            <sz val="9"/>
            <color indexed="81"/>
            <rFont val="Tahoma"/>
            <family val="2"/>
          </rPr>
          <t xml:space="preserve">
formule d'arrondissement arithmétique. Vous pouvez aussi décider d'entrer d'entrer un autre taux final souhaité</t>
        </r>
      </text>
    </comment>
  </commentList>
</comments>
</file>

<file path=xl/comments6.xml><?xml version="1.0" encoding="utf-8"?>
<comments xmlns="http://schemas.openxmlformats.org/spreadsheetml/2006/main">
  <authors>
    <author>Cellule architecture</author>
    <author>guissa01</author>
  </authors>
  <commentList>
    <comment ref="J63" authorId="0" shapeId="0">
      <text>
        <r>
          <rPr>
            <b/>
            <sz val="9"/>
            <color indexed="81"/>
            <rFont val="Tahoma"/>
            <family val="2"/>
          </rPr>
          <t>Cellule architecture:</t>
        </r>
        <r>
          <rPr>
            <sz val="9"/>
            <color indexed="81"/>
            <rFont val="Tahoma"/>
            <family val="2"/>
          </rPr>
          <t xml:space="preserve">
Vérifier si les honoraires d'architecte sont suffisamment élevés pour reprendre la misssion de conseil mobilier pour le mobilier non repris dans le budget des travaux.</t>
        </r>
      </text>
    </comment>
    <comment ref="K72" authorId="1" shapeId="0">
      <text>
        <r>
          <rPr>
            <b/>
            <sz val="9"/>
            <color indexed="81"/>
            <rFont val="Tahoma"/>
            <family val="2"/>
          </rPr>
          <t>guissa01:</t>
        </r>
        <r>
          <rPr>
            <sz val="9"/>
            <color indexed="81"/>
            <rFont val="Tahoma"/>
            <family val="2"/>
          </rPr>
          <t xml:space="preserve">
formule d'arrondissement arithmétique. Vous pouvez aussi décider d'entrer d'entrer un autre taux final souhaité</t>
        </r>
      </text>
    </comment>
  </commentList>
</comments>
</file>

<file path=xl/sharedStrings.xml><?xml version="1.0" encoding="utf-8"?>
<sst xmlns="http://schemas.openxmlformats.org/spreadsheetml/2006/main" count="488" uniqueCount="250">
  <si>
    <t>Calcul  des honoraires d'architectes</t>
  </si>
  <si>
    <t>Tranche</t>
  </si>
  <si>
    <t xml:space="preserve">de 0 à 160.000€ </t>
  </si>
  <si>
    <t>de 160.000 à 550.000 €</t>
  </si>
  <si>
    <t>de 550.000 à 1.400.000 €</t>
  </si>
  <si>
    <t>de 1.400.000 à 5.500.000 €</t>
  </si>
  <si>
    <t>de 5.500.000 à 16.600.000 €</t>
  </si>
  <si>
    <t>au-delà</t>
  </si>
  <si>
    <t>TOTAL</t>
  </si>
  <si>
    <t>Pourcentage du marché</t>
  </si>
  <si>
    <t>%</t>
  </si>
  <si>
    <t>Si marché de</t>
  </si>
  <si>
    <t>Montant du marché de base</t>
  </si>
  <si>
    <t>Taux en %</t>
  </si>
  <si>
    <t>Montant des honoraires</t>
  </si>
  <si>
    <t>20% du marché de base</t>
  </si>
  <si>
    <t>Tranches</t>
  </si>
  <si>
    <t>FABI E - 2</t>
  </si>
  <si>
    <t>Sous-Total</t>
  </si>
  <si>
    <t>signalétique</t>
  </si>
  <si>
    <t>TAUX FORFAITAIRE arrondi à</t>
  </si>
  <si>
    <t xml:space="preserve">MONTANT ESTIME à </t>
  </si>
  <si>
    <t>FABI S - 3</t>
  </si>
  <si>
    <t>Honoraires</t>
  </si>
  <si>
    <t>Calcul honoraires archi selon forfait</t>
  </si>
  <si>
    <t>Calcul honoraires ingénieurs</t>
  </si>
  <si>
    <t>facteur d'arrondissement</t>
  </si>
  <si>
    <t>Taux résultant</t>
  </si>
  <si>
    <t>honoraires effectifs après arrondissement</t>
  </si>
  <si>
    <t>STAB</t>
  </si>
  <si>
    <t>TS</t>
  </si>
  <si>
    <t>design mobilier</t>
  </si>
  <si>
    <t>PM</t>
  </si>
  <si>
    <t>Calcul du dédommagement aux soumissionnaires</t>
  </si>
  <si>
    <t>Minimum (hors maquette)</t>
  </si>
  <si>
    <t>Montant des travaux (estimation)</t>
  </si>
  <si>
    <t>Montant des honoraires (estimation)</t>
  </si>
  <si>
    <t>HTVA</t>
  </si>
  <si>
    <t>TVA 21%</t>
  </si>
  <si>
    <t>TVAC</t>
  </si>
  <si>
    <t>Base de calcul (Honoraires HTVA) :</t>
  </si>
  <si>
    <t>Calcul de l'indemnité de base</t>
  </si>
  <si>
    <t>tranches d'honoraires</t>
  </si>
  <si>
    <t>taux</t>
  </si>
  <si>
    <t>partiels</t>
  </si>
  <si>
    <t>Indemnité</t>
  </si>
  <si>
    <t>jusqu'à 200.000 €</t>
  </si>
  <si>
    <t>entre 200.000 et 400.000 €</t>
  </si>
  <si>
    <t>entre 400.000 et 600.000 €</t>
  </si>
  <si>
    <t>entre 600.000 et 800.000 €</t>
  </si>
  <si>
    <t>plus que 800.000 €</t>
  </si>
  <si>
    <t>(pourcentage d'honoraires</t>
  </si>
  <si>
    <t>(pourcentage de travaux</t>
  </si>
  <si>
    <t>Extras</t>
  </si>
  <si>
    <t>(selon les spécificités du projet)</t>
  </si>
  <si>
    <t>forfait maquette</t>
  </si>
  <si>
    <t>forfait schéma directeur</t>
  </si>
  <si>
    <t>[selon complexité]</t>
  </si>
  <si>
    <t>autre</t>
  </si>
  <si>
    <t>Total</t>
  </si>
  <si>
    <t>Indemnité forfaitaire arrondie à</t>
  </si>
  <si>
    <t xml:space="preserve">S'agissant d'un dédommagement, la TVA n'est pas appliquée </t>
  </si>
  <si>
    <t>Estimation HTVA</t>
  </si>
  <si>
    <t>Estimation TVAC</t>
  </si>
  <si>
    <t>remarques</t>
  </si>
  <si>
    <t>1. Acquisitions immobilières</t>
  </si>
  <si>
    <t>2. Travaux préparatoires</t>
  </si>
  <si>
    <t>inventaire amiante</t>
  </si>
  <si>
    <t>3. Marché d'auteurs de projet</t>
  </si>
  <si>
    <t>4. Honoraires auteurs de projet</t>
  </si>
  <si>
    <t>5. Travaux</t>
  </si>
  <si>
    <t>6. Divers</t>
  </si>
  <si>
    <t>-</t>
  </si>
  <si>
    <t>BUDGET GLOBAL</t>
  </si>
  <si>
    <t>Intitulé du marché:</t>
  </si>
  <si>
    <t>Jury d'attribution</t>
  </si>
  <si>
    <t>Nombre d'experts venant de l'étranger (pays limitrophe) =</t>
  </si>
  <si>
    <t>Nombre de soumissionnaires invités à remettre une préesquisse =</t>
  </si>
  <si>
    <t>xxxxxxxxxxxxxxxxxxxxxxxxxxxxxx</t>
  </si>
  <si>
    <t>Pouvoir subsidiant =</t>
  </si>
  <si>
    <t>défraiement experts extérieurs (séance de jury SQ)</t>
  </si>
  <si>
    <t>défraiement experts extérieurs (séance de jury attribution)</t>
  </si>
  <si>
    <t>transport (+nuit hotel le cas échéant) experts extérieurs ( jury SQ)</t>
  </si>
  <si>
    <t>transport (+nuit hotel le cas échéant) experts extérieurs ( jury attrib)</t>
  </si>
  <si>
    <t>*</t>
  </si>
  <si>
    <t>Il faut également avoir identifié toutes les compétences nécessaires pour le projet.</t>
  </si>
  <si>
    <t>è</t>
  </si>
  <si>
    <t>Les honoraires pour les autres disciplines dépendent du projet :</t>
  </si>
  <si>
    <t>Adapter le calcul des honoraires pour les autres disciplines</t>
  </si>
  <si>
    <t>Tous les honoraires sont définis.</t>
  </si>
  <si>
    <t>Arrondir le pourcentage global d'honoraires au premier chiffre décimal maximum (par exemple 12,8% ou directement 13%).</t>
  </si>
  <si>
    <t>On obtient ainsi l'estimation HTVA du montant des honoraires à indiquer dans l'Avis de marché.</t>
  </si>
  <si>
    <t>Rensignements complémentaires</t>
  </si>
  <si>
    <t>Cellule architecture de la Fédération Wallonie-Bruxelles</t>
  </si>
  <si>
    <t>www.marchesdarchitecture.be</t>
  </si>
  <si>
    <t>Calcul honoraires selon forfait appliqué par la Cf</t>
  </si>
  <si>
    <t>€</t>
  </si>
  <si>
    <t>Montnat du marché de base</t>
  </si>
  <si>
    <t>FABI S - 2</t>
  </si>
  <si>
    <t>Montat du marché de base</t>
  </si>
  <si>
    <t>25% du marché de base</t>
  </si>
  <si>
    <t>15% du marché de base</t>
  </si>
  <si>
    <t>coefficient "s"</t>
  </si>
  <si>
    <t>coefficient "i"</t>
  </si>
  <si>
    <t>Total HTVA</t>
  </si>
  <si>
    <t>plus que 2.500.000 € indexés</t>
  </si>
  <si>
    <t xml:space="preserve">entre 1.250.000 et 2.500.000 € indexés </t>
  </si>
  <si>
    <t>entre 250.000 et 1.250.000 € indexés</t>
  </si>
  <si>
    <t>jusqu'à 250.000 € indexés</t>
  </si>
  <si>
    <t>Œuvre d'art</t>
  </si>
  <si>
    <t>tranches</t>
  </si>
  <si>
    <t>&lt;    vérifier que l'index est bien à jour</t>
  </si>
  <si>
    <t>Index</t>
  </si>
  <si>
    <t>Base de calcul (Travaux HTVA) :</t>
  </si>
  <si>
    <t>Seuil</t>
  </si>
  <si>
    <t>Décret du 10 mai 1984 - article 4</t>
  </si>
  <si>
    <t xml:space="preserve">1. </t>
  </si>
  <si>
    <t>2.</t>
  </si>
  <si>
    <t>MODE D'EMPLOI du classeur Excel "Budget global"</t>
  </si>
  <si>
    <r>
      <t>Avant de procéder au calcul des honoraires à l'aide des tableaux suivants,</t>
    </r>
    <r>
      <rPr>
        <b/>
        <sz val="10"/>
        <rFont val="Arial"/>
        <family val="2"/>
      </rPr>
      <t xml:space="preserve"> il faut avoir estimé le coût des travaux (budget global)</t>
    </r>
    <r>
      <rPr>
        <sz val="10"/>
        <rFont val="Arial"/>
        <family val="2"/>
      </rPr>
      <t>. Celui-ci peut être calculé sur base d'une estimation des surfaces brutes et nettes, à rénover ou à reconstruire, à multiplier par des prix unitaires.</t>
    </r>
  </si>
  <si>
    <t>Les tableaux dans les onglets "Honor-" permettent d'estimer les honoraires pour une équipe complète d'auteurs de projet.</t>
  </si>
  <si>
    <r>
      <t xml:space="preserve">Choisir la catégorie (onglets </t>
    </r>
    <r>
      <rPr>
        <b/>
        <i/>
        <sz val="10"/>
        <rFont val="Arial"/>
        <family val="2"/>
      </rPr>
      <t xml:space="preserve">Honor-Cat 1 </t>
    </r>
    <r>
      <rPr>
        <b/>
        <sz val="10"/>
        <rFont val="Arial"/>
        <family val="2"/>
      </rPr>
      <t xml:space="preserve">à </t>
    </r>
    <r>
      <rPr>
        <b/>
        <i/>
        <sz val="10"/>
        <rFont val="Arial"/>
        <family val="2"/>
      </rPr>
      <t>5</t>
    </r>
    <r>
      <rPr>
        <b/>
        <sz val="10"/>
        <rFont val="Arial"/>
        <family val="2"/>
      </rPr>
      <t>) en fonction de la complexité du projet:</t>
    </r>
  </si>
  <si>
    <t>- Cat. 1: ouvrages purement utilitaires
- Cat. 2: ouvrages de conception simple (par exemple bâtiments scolaires, crèche, maison de repos, hall de sport, ...)
- Cat. 3: bâtiments complexes, par exemple culturels
- Cat. 4: bâtiments de caractère ou en rénovation
- Cat. 5: bâtiments classés</t>
  </si>
  <si>
    <t>Les honoraires des architectes sont calculés automatiquement (montant et pourcentage): Cela donne lieu à une rémunération des architectes allant d'un taux dégressif de 7% (Cat. 1) à un taux de 15% (ouvrages classés).</t>
  </si>
  <si>
    <t>En construction neuve on peut prévoir que le coût des ouvrages de stabilité représente enivron 25% du budget total, et que les techniques spéciales 20 à 25% en fonction du projet. Les honoraires pour les autres disciplines, telles que l'acoustique, le design signalétique, la scénographie, le paysagisme, etc., sont encore plus variables et doivent être évalués au cas par cas. Les chiffres ou formules utilisés ici doivent donc être vérifiés et éventuellement modifiés.</t>
  </si>
  <si>
    <t xml:space="preserve">suivre les instructions suivantes (relatives aux onglets Honor- ): </t>
  </si>
  <si>
    <t xml:space="preserve">3. </t>
  </si>
  <si>
    <t>Lors de l'avancement du processus, mettre à jour les données: estimation ajustée des dépenses, dépenses effectives</t>
  </si>
  <si>
    <t>Estimation ajustée GLOBALE (TVAC) =</t>
  </si>
  <si>
    <t>ESTIMATION GLOBALE AJUSTEE</t>
  </si>
  <si>
    <t>ENVELOPPE GLOBALE</t>
  </si>
  <si>
    <t>SOLDE GLOBAL</t>
  </si>
  <si>
    <t xml:space="preserve">4. </t>
  </si>
  <si>
    <t>6a. Estimation pour avis de marché</t>
  </si>
  <si>
    <t>Montant des travaux, nombre de mètres carrés, éventuellement autres postes.</t>
  </si>
  <si>
    <t>Nombres de mètres carrés d'abords à aménager</t>
  </si>
  <si>
    <t>Enveloppe principale =</t>
  </si>
  <si>
    <t>Solde enveloppe principale =</t>
  </si>
  <si>
    <t>Solde enveloppe secondaire =</t>
  </si>
  <si>
    <t xml:space="preserve">Enveloppe secondaire = </t>
  </si>
  <si>
    <t>Chiffres TVAC</t>
  </si>
  <si>
    <r>
      <t xml:space="preserve">Supprimer les onglets </t>
    </r>
    <r>
      <rPr>
        <b/>
        <i/>
        <sz val="10"/>
        <rFont val="Arial"/>
        <family val="2"/>
      </rPr>
      <t>Honor-</t>
    </r>
    <r>
      <rPr>
        <b/>
        <sz val="10"/>
        <rFont val="Arial"/>
        <family val="2"/>
      </rPr>
      <t xml:space="preserve"> non relevants pour n'en garder qu'un</t>
    </r>
  </si>
  <si>
    <r>
      <t xml:space="preserve">préambule: </t>
    </r>
    <r>
      <rPr>
        <sz val="10"/>
        <rFont val="Arial"/>
        <family val="2"/>
      </rPr>
      <t>les onglets Dédommagement, Intégration OA et Honoraires sont utilisabes séparément. Dans ce cas, il faut remplir manuellement les chiffres dans les cellules de fond bleu clair</t>
    </r>
  </si>
  <si>
    <t>arrondi</t>
  </si>
  <si>
    <t>relevé bâtiments et terrain - géomètre + topo</t>
  </si>
  <si>
    <t>déduction dédommagement préesquisse du lauréat</t>
  </si>
  <si>
    <t>dédommagement pré esquisses non lauréates ET LAUREATE</t>
  </si>
  <si>
    <t>6b. Honoraires sur imprévus chantier (5 à 10%)</t>
  </si>
  <si>
    <t>La TVA se prend à 6% pour les honoraires et à 21% pour la production</t>
  </si>
  <si>
    <t>maquette de contexte</t>
  </si>
  <si>
    <t>BUDGET</t>
  </si>
  <si>
    <t>Indiquer ici l'enveloppe budgétaire</t>
  </si>
  <si>
    <r>
      <t xml:space="preserve">PEB </t>
    </r>
    <r>
      <rPr>
        <sz val="8"/>
        <rFont val="Arial"/>
        <family val="2"/>
      </rPr>
      <t>(le cas échéant)</t>
    </r>
  </si>
  <si>
    <t>Si une variante/option est exigée par le MO et qu'elle  modifie significativement l'ampleur du projet ou implique la nécessité de développer un second projet…</t>
  </si>
  <si>
    <t>forfait variante/option exigée</t>
  </si>
  <si>
    <t>Si le MO exige dans l'offre le développement d'une vision stratégique globale qui dépasse le périmètre de la zone de travaux</t>
  </si>
  <si>
    <t>Nombre de mètres carrés construits estimé (m² BRUTS, soit 125% de NET)</t>
  </si>
  <si>
    <r>
      <t xml:space="preserve">surcroît administratif </t>
    </r>
    <r>
      <rPr>
        <sz val="8"/>
        <color rgb="FF0226BE"/>
        <rFont val="Arial"/>
        <family val="2"/>
      </rPr>
      <t>(1)</t>
    </r>
  </si>
  <si>
    <r>
      <rPr>
        <sz val="8"/>
        <rFont val="Arial"/>
        <family val="2"/>
      </rPr>
      <t>(1)</t>
    </r>
    <r>
      <rPr>
        <sz val="9"/>
        <rFont val="Arial"/>
        <family val="2"/>
      </rPr>
      <t xml:space="preserve"> En fonction de la complexité de la situation urbanistique du bien (zone natura 2000, …) ou de l'impact urbanistique du projet, la charge administrative pour l'architecte pourrait être alourdie (étude d'incidences, etc, …). Dans ce cas, un supplément d'honoraires peut être envisagé. S'il s'agit d'un bien classé, ne rien ajouter ici et vous reporter à l'onglet "catégorie 5", qui intègre directement dans les honoraires d'architectes le surplus de travail lié au caractère classé du bâtiment.</t>
    </r>
  </si>
  <si>
    <r>
      <t>(1)</t>
    </r>
    <r>
      <rPr>
        <sz val="9"/>
        <rFont val="Arial"/>
        <family val="2"/>
      </rPr>
      <t xml:space="preserve"> En fonction de la complexité de la situation urbanistique du bien (zone natura 2000, …) ou de l'impact urbanistique du projet, la charge administrative pour l'architecte pourrait être alourdie (étude d'incidences, etc, …). Dans ce cas, un supplément d'honoraires peut être envisagé. S'il s'agit d'un bien classé, ne rien ajouter ici et vous reporter à l'onglet "catégorie 5", qui intègre directement dans les honoraires d'architectes le surplus de travail lié au caractère classé du bâtiment.</t>
    </r>
  </si>
  <si>
    <r>
      <rPr>
        <sz val="8"/>
        <rFont val="Arial"/>
        <family val="2"/>
      </rPr>
      <t xml:space="preserve">(2) </t>
    </r>
    <r>
      <rPr>
        <sz val="9"/>
        <rFont val="Arial"/>
        <family val="2"/>
      </rPr>
      <t>En fonction de la complexité du programme ou des exigences du maître de l'ouvrage, la part détude des ingénieurs  (stabilité et techniques spéciales) peut varier, ce pourcentage peut donc être amené à être modulé.</t>
    </r>
  </si>
  <si>
    <r>
      <t xml:space="preserve">(2) </t>
    </r>
    <r>
      <rPr>
        <sz val="9"/>
        <rFont val="Arial"/>
        <family val="2"/>
      </rPr>
      <t>En fonction de la complexité du programme ou des exigences du maître de l'ouvrage, la part détude des ingénieurs  (stabilité et techniques spéciales) peut varier, ce pourcentage peut donc être amené à être modulé.</t>
    </r>
  </si>
  <si>
    <r>
      <rPr>
        <sz val="8"/>
        <rFont val="Arial"/>
        <family val="2"/>
      </rPr>
      <t>(3)</t>
    </r>
    <r>
      <rPr>
        <sz val="9"/>
        <rFont val="Arial"/>
        <family val="2"/>
      </rPr>
      <t xml:space="preserve">  Pour l'acoustique, on compte au minimum 0,3% du montant total des travaux. On peut monter jusqu'à 0,8 % en fonction l'activité (besoins spécifiques en matière acoustique: écoles, lieux de travail, lieux culturels, lieux de spectacle, ...) et de l'environnement (pouvant être sensible: voisins proches, etc... ou lui même générateur de nuisances sonores: ligne ferroviaire, ...). L'acousticien doit donner son avis sur tout, isolation acoustique de l'enveloppe du bâti, mais aussi confort acoustique, pour la bonne qualité des activités, y compris sur les équipements.</t>
    </r>
  </si>
  <si>
    <r>
      <t>(3)</t>
    </r>
    <r>
      <rPr>
        <sz val="9"/>
        <rFont val="Arial"/>
        <family val="2"/>
      </rPr>
      <t xml:space="preserve">  Pour l'acoustique, on compte au minimum 0,3% du montant total des travaux. On peut monter jusqu'à 0,8 % en fonction l'activité (besoins spécifiques en matière acoustique: écoles, lieux de travail, lieux culturels, lieux de spectacle, ...) et de l'environnement (pouvant être sensible: voisins proches, etc... ou lui même générateur de nuisances sonores: ligne ferroviaire, ...). L'acousticien doit donner son avis sur tout, isolation acoustique de l'enveloppe du bâti, mais aussi confort acoustique, pour la bonne qualité des activités, y compris sur les équipements.</t>
    </r>
  </si>
  <si>
    <r>
      <t xml:space="preserve">Calcul des honoraires d'ingénieurs en stabilité </t>
    </r>
    <r>
      <rPr>
        <sz val="8"/>
        <rFont val="Arial"/>
        <family val="2"/>
      </rPr>
      <t>(2)</t>
    </r>
  </si>
  <si>
    <r>
      <t>Calcul des honoraires d'ingénieurs en techniques spéciales</t>
    </r>
    <r>
      <rPr>
        <b/>
        <sz val="8"/>
        <rFont val="Arial"/>
        <family val="2"/>
      </rPr>
      <t xml:space="preserve"> </t>
    </r>
    <r>
      <rPr>
        <sz val="8"/>
        <rFont val="Arial"/>
        <family val="2"/>
      </rPr>
      <t>(2)</t>
    </r>
  </si>
  <si>
    <r>
      <t xml:space="preserve">acoustique </t>
    </r>
    <r>
      <rPr>
        <sz val="8"/>
        <rFont val="Arial"/>
        <family val="2"/>
      </rPr>
      <t>(3)</t>
    </r>
  </si>
  <si>
    <r>
      <t>paysage</t>
    </r>
    <r>
      <rPr>
        <sz val="8"/>
        <rFont val="Arial"/>
        <family val="2"/>
      </rPr>
      <t xml:space="preserve"> (4)</t>
    </r>
  </si>
  <si>
    <r>
      <rPr>
        <sz val="8"/>
        <rFont val="Arial"/>
        <family val="2"/>
      </rPr>
      <t>(5)</t>
    </r>
    <r>
      <rPr>
        <sz val="9"/>
        <rFont val="Arial"/>
        <family val="2"/>
      </rPr>
      <t xml:space="preserve"> Parmi les autres disciplines, on peut notamment ajouter une mission BIM (si le maître d'ouvrage le demande expressément ou si il a des ambitions poussées en matière de circularité du bâtiment, à laquelle le BIM peut contribuer), pour laquelle on peut compter 1% du montant des travaux. </t>
    </r>
  </si>
  <si>
    <r>
      <t>(5)</t>
    </r>
    <r>
      <rPr>
        <sz val="9"/>
        <rFont val="Arial"/>
        <family val="2"/>
      </rPr>
      <t xml:space="preserve"> Parmi les autres disciplines, on peut notamment ajouter une mission BIM (si le maître d'ouvrage le demande expressément ou si il a des ambitions poussées en matière de circularité du bâtiment, à laquelle le BIM peut contribuer), pour laquelle on peut compter 1% du montant des travaux. </t>
    </r>
  </si>
  <si>
    <r>
      <t>autre discipline?</t>
    </r>
    <r>
      <rPr>
        <sz val="8"/>
        <color theme="4"/>
        <rFont val="Arial"/>
        <family val="2"/>
      </rPr>
      <t xml:space="preserve"> (5)</t>
    </r>
  </si>
  <si>
    <t>* attention, la TVA sur les travaux de certains bâtiments peut-être réduite à 6% dans certains cas (bâtiments, scolaires, …). Si c'est le cas, adapter le taux de TVA renseigné mais également la formule pour le calcul du montant TVAC</t>
  </si>
  <si>
    <r>
      <t xml:space="preserve">Estimation ajustée (TVAC)
</t>
    </r>
    <r>
      <rPr>
        <sz val="10"/>
        <color rgb="FF00B050"/>
        <rFont val="Arial"/>
        <family val="2"/>
      </rPr>
      <t>en vert= coût finaux (entrer les dépenses effectuées réellement)</t>
    </r>
  </si>
  <si>
    <r>
      <t xml:space="preserve">design mobilier </t>
    </r>
    <r>
      <rPr>
        <sz val="8"/>
        <rFont val="Arial"/>
        <family val="2"/>
      </rPr>
      <t xml:space="preserve"> (3)</t>
    </r>
  </si>
  <si>
    <r>
      <t xml:space="preserve">acoustique </t>
    </r>
    <r>
      <rPr>
        <sz val="8"/>
        <rFont val="Arial"/>
        <family val="2"/>
      </rPr>
      <t>(4)</t>
    </r>
  </si>
  <si>
    <r>
      <t>paysage</t>
    </r>
    <r>
      <rPr>
        <sz val="8"/>
        <rFont val="Arial"/>
        <family val="2"/>
      </rPr>
      <t xml:space="preserve"> (5)</t>
    </r>
  </si>
  <si>
    <r>
      <t>autre discipline?</t>
    </r>
    <r>
      <rPr>
        <sz val="8"/>
        <color theme="4"/>
        <rFont val="Arial"/>
        <family val="2"/>
      </rPr>
      <t xml:space="preserve"> (6)</t>
    </r>
  </si>
  <si>
    <r>
      <t>(4)</t>
    </r>
    <r>
      <rPr>
        <sz val="9"/>
        <rFont val="Arial"/>
        <family val="2"/>
      </rPr>
      <t xml:space="preserve">  Pour l'acoustique, on compte au minimum 0,3% du montant total des travaux. On peut monter jusqu'à 0,8 % en fonction l'activité (besoins spécifiques en matière acoustique: écoles, lieux de travail, lieux culturels, lieux de spectacle, ...) et de l'environnement (pouvant être sensible: voisins proches, etc... ou lui même générateur de nuisances sonores: ligne ferroviaire, ...). L'acousticien doit donner son avis sur tout, isolation acoustique de l'enveloppe du bâti, mais aussi confort acoustique, pour la bonne qualité des activités, y compris sur les équipements.</t>
    </r>
  </si>
  <si>
    <r>
      <t>(4)</t>
    </r>
    <r>
      <rPr>
        <sz val="9"/>
        <rFont val="Arial"/>
        <family val="2"/>
      </rPr>
      <t xml:space="preserve">  Pour l'acoustique, on compte au minimum 0,3% du montant total des travaux. On peut monter jusqu'à 0,8 % en fonction l'activité (besoins spécifiques en matière acoustique: écoles, lieux de travail, lieux culturels, lieux de spectacle, ...) et de l'env</t>
    </r>
    <r>
      <rPr>
        <sz val="8"/>
        <rFont val="Arial"/>
        <family val="2"/>
      </rPr>
      <t>ironnement (pouvant être sensible: voisins proches, etc... ou lui même générateur de nuisances sonores: ligne ferroviaire, ...). L'acousticien doit donner son avis sur tout, isolation acoustique de l'enveloppe du bâti, mais aussi confort acoustique, pour la bonne qualité des activités, y compris sur les équipements.</t>
    </r>
  </si>
  <si>
    <r>
      <t>(6)</t>
    </r>
    <r>
      <rPr>
        <sz val="9"/>
        <rFont val="Arial"/>
        <family val="2"/>
      </rPr>
      <t xml:space="preserve"> Parmi les autres disciplines, on peut notamment ajouter une mission BIM (si le maître d'ouvrage le demande expressément ou si il a des ambitions poussées en matière de circularité du bâtiment, à laquelle le BIM peut contribuer), pour laquelle on peut compter 1% du montant des travaux. </t>
    </r>
  </si>
  <si>
    <r>
      <t>(6)</t>
    </r>
    <r>
      <rPr>
        <sz val="9"/>
        <rFont val="Arial"/>
        <family val="2"/>
      </rPr>
      <t xml:space="preserve"> Parmi les autres disciplines, on peut notamment ajouter une mission BIM (si le maître d'ouvrage le demande expressément ou si il a des ambitions poussées en matière de circularité du bâtiment, à laquelle le BIM peut contribuer), pour laquelle on peut </t>
    </r>
    <r>
      <rPr>
        <sz val="8"/>
        <rFont val="Arial"/>
        <family val="2"/>
      </rPr>
      <t xml:space="preserve">compter 1% du montant des travaux. </t>
    </r>
  </si>
  <si>
    <t>Calcul Honoraires auteur de projet - Simulation pour ouvrages purement utilitaires (Catégorie 1)</t>
  </si>
  <si>
    <t>Simulation pour ouvrages de conception simple (par exemple bâtiments scolaires, crèche, maison de repos, hall de sport, ...)  (Catégorie 2)</t>
  </si>
  <si>
    <t>Simulation pour bâtiments complexes, par exemple culturels  (Catégorie 3)</t>
  </si>
  <si>
    <t>Simulation pour bâtiments de caractère ou en rénovation  (Catégorie 4)</t>
  </si>
  <si>
    <t>Simulation pour bâtiments classés  (Catégorie 5)</t>
  </si>
  <si>
    <t>6e. Imprévus hors travaux ou divers</t>
  </si>
  <si>
    <t>6c. Intégration d'œuvre d'art</t>
  </si>
  <si>
    <r>
      <t xml:space="preserve">6d. Coordination sécurité et santé (études+chantier) 
</t>
    </r>
    <r>
      <rPr>
        <sz val="9"/>
        <rFont val="Arial"/>
        <family val="2"/>
      </rPr>
      <t>de 0,15 à 0,5% du montant des travaux en fonction de la durée &gt;&gt; comptage prudent = 0,5%</t>
    </r>
  </si>
  <si>
    <t>Abords</t>
  </si>
  <si>
    <t>Equipement technique spécifique (scénographique, …)</t>
  </si>
  <si>
    <r>
      <rPr>
        <sz val="8"/>
        <rFont val="Arial"/>
        <family val="2"/>
      </rPr>
      <t>(4)</t>
    </r>
    <r>
      <rPr>
        <sz val="9"/>
        <rFont val="Arial"/>
        <family val="2"/>
      </rPr>
      <t xml:space="preserve"> Pour le paysage, compter ces honoraires spécifiques de 0,75 % du montant total des travaux si les aménagments attendus vont au-delà d'un simple aménagment d'abords directs de bâtiments (grand jardin, parc, place, masterplanning sur garnd terrain, …).</t>
    </r>
  </si>
  <si>
    <r>
      <rPr>
        <sz val="8"/>
        <rFont val="Arial"/>
        <family val="2"/>
      </rPr>
      <t>(5)</t>
    </r>
    <r>
      <rPr>
        <sz val="9"/>
        <rFont val="Arial"/>
        <family val="2"/>
      </rPr>
      <t xml:space="preserve"> Pour le paysage, compter ces honoraires spécifiques de 0,75 % du montant total des travaux si les aménagments attendus vont au-delà d'un simple aménagment d'abords directs de bâtiments (grand jardin, parc, place, masterplanning sur garnd terrain, …).</t>
    </r>
  </si>
  <si>
    <r>
      <rPr>
        <sz val="8"/>
        <rFont val="Arial"/>
        <family val="2"/>
      </rPr>
      <t>(5)</t>
    </r>
    <r>
      <rPr>
        <sz val="9"/>
        <rFont val="Arial"/>
        <family val="2"/>
      </rPr>
      <t xml:space="preserve"> Pour le paysage, compter ces honoraires spécifiques de 0,75 % du montant total des travaux si les aménagments attendus vont au-delà d'un simple aménagment d'abords directs de bâtiments (grand jardin, parc, place, masterplanning sur grand terrain, …).</t>
    </r>
  </si>
  <si>
    <r>
      <rPr>
        <sz val="8"/>
        <rFont val="Arial"/>
        <family val="2"/>
      </rPr>
      <t>(4)</t>
    </r>
    <r>
      <rPr>
        <sz val="9"/>
        <rFont val="Arial"/>
        <family val="2"/>
      </rPr>
      <t xml:space="preserve"> Pour le paysage, compter ces honoraires spécifiques de 0,75 % du montant total des travaux si les aménagments attendus vont au-delà d'un simple aménagment d'abords directs de bâtiments (grand jardin, parc, place, masterplanning sur grand terrain, …).</t>
    </r>
  </si>
  <si>
    <r>
      <t xml:space="preserve">Mobilier intégré </t>
    </r>
    <r>
      <rPr>
        <sz val="8"/>
        <rFont val="Arial"/>
        <family val="2"/>
      </rPr>
      <t>(mobilier à dessiner par l'auteur de projet: comptoir, placards, ...)</t>
    </r>
  </si>
  <si>
    <r>
      <t xml:space="preserve">6b. fourniture d'équipement </t>
    </r>
    <r>
      <rPr>
        <sz val="8"/>
        <rFont val="Arial"/>
        <family val="2"/>
      </rPr>
      <t>(mobilier non dessiné par l'auteur de projet, bureautique, …)</t>
    </r>
  </si>
  <si>
    <r>
      <rPr>
        <sz val="8"/>
        <rFont val="Arial"/>
        <family val="2"/>
      </rPr>
      <t xml:space="preserve">(3)  </t>
    </r>
    <r>
      <rPr>
        <sz val="9"/>
        <rFont val="Arial"/>
        <family val="2"/>
      </rPr>
      <t>Pour le design mobilier, on compte 0,5% du montant total des travaux. Il s'agit d'un taux forfaitaire permettant de couvrir une mission de conseil sur du mobilier qui ne serait pas (au moment de l'attribution du marché ou durant l'exécution du marché) inclus dans l'enveloppe des travaux. L'objectif est de garantir la cohérence conceptuelle et esthétique de l’espace créé. Ce taux peut être ramené à 0,2% si la totalité du mobilier (y c mobilier non fixe) estimé nécessaire au moment de l'attribution est inclus dans le montant des travaux.</t>
    </r>
  </si>
  <si>
    <t>Expert extérieur à qui est confié la présidence (jury attribution)</t>
  </si>
  <si>
    <t>Expert extérieur à qui est confié la présidence (jury sélection qualitative)</t>
  </si>
  <si>
    <t>Sondages (sol, bâtiment à rénover, …): stabilité, pollution</t>
  </si>
  <si>
    <t>6a. Sondages complémentaires si nécessaire: stabilité, pollution</t>
  </si>
  <si>
    <t>scénographie (7)</t>
  </si>
  <si>
    <t>(7) L'intervention d'un(e) scénographe peut s'avérer nécessaire dans un projets de musée ou de théâtre</t>
  </si>
  <si>
    <t>Nombre d'experts présents au jury de sélection =</t>
  </si>
  <si>
    <t>Nombre d'experts présents au jury d'attribution=</t>
  </si>
  <si>
    <t>L'index est lié aux valeurs des coefficients "i" (indice des matériaux variant mensuellement) et "s" (variant trimestriellement - "valeurs de S") permettant la révision du montant des marchés; si vous désirez obtenir l'index correspondant à un autre mois/année, vous pouvez entrer ci à côté (en bleu) ces valeurs. Pour toute question, ou pour l'entrée de données antérieures au 01.01.2002, n'hésitez pas à contacter la cellule architecture.</t>
  </si>
  <si>
    <t>Taux d'honoraires</t>
  </si>
  <si>
    <t>Prix (HTVA, imprévus études inclus) au mètre carré d'abords aménagés</t>
  </si>
  <si>
    <t>Démolitions préalables</t>
  </si>
  <si>
    <t>Bâtiment (construction, rénovation,  …)</t>
  </si>
  <si>
    <t>Etude préalable de définition (id. risques, coord audits, besoins, programmation, budgétisation, scenarii)</t>
  </si>
  <si>
    <t>- imprévus durant la période d' études **
&gt; taux à indiquer dans la case ci après en bleu</t>
  </si>
  <si>
    <t>*** une estimation du coût de location de bâtiments temporaires (15e/m²/mois) sera idéalement prévue dès l'initiale dans le budget, mais uniquement si les conditions suivantes sont réunies:
- il s'agit d'une rénovation/démolition d'un bâtiment en activité;
- la continuité de l'activité existante doit être complètement assurée durant le chantier (pas d'arrêt temporaire ou de diminution possible) et que le maître d'ouvrage ne dispose pas de bâtiments libres à proximité pour pouvoir héberger temporairement toute l'activité;
- les conditions ne permettent raisonablement pas aux auteurs de projet d'envisager une "opération tiroir" : bâtiment unique sur terrain exigu ou contraint, ...</t>
  </si>
  <si>
    <r>
      <t xml:space="preserve">** Imprévus </t>
    </r>
    <r>
      <rPr>
        <u/>
        <sz val="8"/>
        <rFont val="Arial"/>
        <family val="2"/>
      </rPr>
      <t>études:</t>
    </r>
    <r>
      <rPr>
        <sz val="8"/>
        <rFont val="Arial"/>
        <family val="2"/>
      </rPr>
      <t xml:space="preserve"> compter 2% min. (projet simple avec Etude de faisabilité -EDF- préalable) ; 5% (projet complexe avec EDF ou simple sans EDF) ;  10%: (projet complexe sans EDF)
** Imprévus </t>
    </r>
    <r>
      <rPr>
        <u/>
        <sz val="8"/>
        <rFont val="Arial"/>
        <family val="2"/>
      </rPr>
      <t>chantier</t>
    </r>
    <r>
      <rPr>
        <sz val="8"/>
        <rFont val="Arial"/>
        <family val="2"/>
      </rPr>
      <t xml:space="preserve"> compter 2% min. (construction neuve avec Etude de faisabilité -EDF- préalable) ; 5% (rénovation légère avec EDF ou construction neuve sans EDF) ;  7%: (rénovation lourde avec EDF ou légère sans EDF); 10%: (rénovation lourde sans EDF)</t>
    </r>
  </si>
  <si>
    <t>Prix (HTVA, hors imprévus études) au mètre carré construit</t>
  </si>
  <si>
    <r>
      <t xml:space="preserve">attention: si le dédommagement dépasse les </t>
    </r>
    <r>
      <rPr>
        <sz val="10"/>
        <color rgb="FFFF0000"/>
        <rFont val="Arial"/>
        <family val="2"/>
      </rPr>
      <t>7,5 % d'honoraires*</t>
    </r>
    <r>
      <rPr>
        <sz val="10"/>
        <rFont val="Arial"/>
        <family val="2"/>
      </rPr>
      <t>, cela veut dire qu'il représente plus de'd1/2 esquisse, ce qui est beaucoup de travail au stade du concours. Evaluer dès lors si en fonction de la complexité du projet ou du type de production demandé il est possible de rester sous les 10%</t>
    </r>
  </si>
  <si>
    <t xml:space="preserve">
Le dédommagement peut être diminué dans le cas de projets d’espace public ou d’urbanisme. Mais dans ce cas la composition de l'offre devra être adaptée pour être simplifiée:  on ne demandera par exemple pas de plans, mais uniquement des schémas d’intention. L’estimation budgétaire sera aussi simplifiée. 
Pour un projet d’architecture, c’est a priori déconseillé car les offres risquent d’être plus difficilement comparables et moins fiables sur le plan de l’estimation budgétaires des travaux. </t>
  </si>
  <si>
    <t>Montant global de l'opération (TVAC)</t>
  </si>
  <si>
    <t>étapes préalables</t>
  </si>
  <si>
    <t>passation marché de services</t>
  </si>
  <si>
    <t>selection qualitative</t>
  </si>
  <si>
    <t>attribution</t>
  </si>
  <si>
    <t>execution marché de services</t>
  </si>
  <si>
    <t>études</t>
  </si>
  <si>
    <t>suivi de chantier</t>
  </si>
  <si>
    <t>passation marché travaux</t>
  </si>
  <si>
    <t>exécution marché de travaux</t>
  </si>
  <si>
    <t>septembre-décembre 2021</t>
  </si>
  <si>
    <t>janvier - octobre 2021</t>
  </si>
  <si>
    <t>janvier 2022 - janvier 2025</t>
  </si>
  <si>
    <r>
      <t xml:space="preserve">compléter/adapter*  les informations en texte bleu l'onglet </t>
    </r>
    <r>
      <rPr>
        <i/>
        <sz val="12"/>
        <rFont val="Arial"/>
        <family val="2"/>
      </rPr>
      <t>Détail</t>
    </r>
  </si>
  <si>
    <r>
      <t xml:space="preserve">Si des problèmes budgétaires apparaissent (montants en rouge), adapter  les montants entrés dans l'onglet </t>
    </r>
    <r>
      <rPr>
        <i/>
        <sz val="12"/>
        <rFont val="Arial"/>
        <family val="2"/>
      </rPr>
      <t>Détail</t>
    </r>
  </si>
  <si>
    <t>www.cellule.archi</t>
  </si>
  <si>
    <r>
      <t xml:space="preserve">compléter/adapter*  les informations en texte bleu dans l'onglet </t>
    </r>
    <r>
      <rPr>
        <i/>
        <sz val="12"/>
        <rFont val="Arial"/>
        <family val="2"/>
      </rPr>
      <t>Détail</t>
    </r>
  </si>
  <si>
    <t>VILLE_Projet de xxxxxxxxxxxxxxxxxxxxxxxxxxxxxxxxxxxxxx</t>
  </si>
  <si>
    <t>Taux de TVA</t>
  </si>
  <si>
    <r>
      <t xml:space="preserve">- coût travaux </t>
    </r>
    <r>
      <rPr>
        <b/>
        <sz val="10"/>
        <rFont val="Arial"/>
        <family val="2"/>
      </rPr>
      <t>à annoncer dans Adm et CDC</t>
    </r>
    <r>
      <rPr>
        <sz val="10"/>
        <rFont val="Arial"/>
        <family val="2"/>
      </rPr>
      <t xml:space="preserve"> (mobilier et équipement technique inclus)</t>
    </r>
  </si>
  <si>
    <t>Location de bâtiments temporaires  ***</t>
  </si>
  <si>
    <r>
      <t xml:space="preserve">- imprévus durant la période de chantier **
</t>
    </r>
    <r>
      <rPr>
        <sz val="10"/>
        <rFont val="Arial"/>
        <family val="2"/>
      </rPr>
      <t>(compter 5 à 10% si rénovation) &gt; taux à indiquer dans la case ci après en bleu</t>
    </r>
  </si>
  <si>
    <t>Estimation du montant des travaux  (imprévus 'études' et 'chantier' inclus)</t>
  </si>
  <si>
    <t>Cette case est liée a l'onglet Détail</t>
  </si>
  <si>
    <t>La maquette est demandée a priori. Elle ne sera supprimée que si le projet ne concerne que de l’aménagement intérieur et/ou des opérations qui n’engendrent pas de reconfiguration spatiale à l’échelle du site (p.ex. restructuration de l’accès/des abords, modification de la volumétrie, etc.).</t>
  </si>
  <si>
    <r>
      <rPr>
        <sz val="10"/>
        <color rgb="FFFF0000"/>
        <rFont val="Arial"/>
        <family val="2"/>
      </rPr>
      <t xml:space="preserve">* </t>
    </r>
    <r>
      <rPr>
        <sz val="10"/>
        <rFont val="Arial"/>
        <family val="2"/>
      </rPr>
      <t xml:space="preserve">Ce phénomène s'observe notamment lorsque les honoraires passent sous le seuil des 70,000 euros. 
Dans ce cas, le dédommagement peut être évalué comme suit:
•  3.000 pour des honoraires de 30.000 à 50.000
•  3.500 (50.000 – 70.000)
Ajouter 1000 euros par dédommagement si demande d’une maquette.
Le dédommagent devra également être augmenté en cas de complexités spécifiques (programme complexe, conditions urbanistiques très particulières, …)
</t>
    </r>
  </si>
  <si>
    <t>Comité de sélection qualitative</t>
  </si>
  <si>
    <t>Indiquer 1 dans l'affirmative</t>
  </si>
  <si>
    <t>*certaines valeurs sont déjà indiquées à titre d'exemple
a. entrer les données préalables du marché: compléter le petit tableau en entête ainsi que les nombres de m² d'abords et construits
b.entrer le budget disponible pour les travaux (TOTAL 6a)
c. entrer les coûts en bleu dans les sections 1, 2, 3 
d. entrer l'enveloppe disponible pour le projet tout en bas
e. vérifier que le prix au m² est raisonable. Ajuster si trop bas ou trop haut
f. vérifier que l'estimation globale ajustée rentre dans l'enveloppe globale. Si elle dépasse, ajuster soit les ambitions du projet à la baisse, soit l'enveloppe disponibe à la hausse</t>
  </si>
  <si>
    <r>
      <t>Intégration d'Œuvre d'Art-Montant de base (1%)</t>
    </r>
    <r>
      <rPr>
        <b/>
        <sz val="14"/>
        <color rgb="FFFF0000"/>
        <rFont val="Arial"/>
        <family val="2"/>
      </rPr>
      <t>*</t>
    </r>
  </si>
  <si>
    <r>
      <rPr>
        <b/>
        <sz val="14"/>
        <color rgb="FFFF0000"/>
        <rFont val="Arial"/>
        <family val="2"/>
      </rPr>
      <t>*</t>
    </r>
    <r>
      <rPr>
        <sz val="10"/>
        <color rgb="FFFF0000"/>
        <rFont val="Arial"/>
        <family val="2"/>
      </rPr>
      <t xml:space="preserve"> Attention si le projet concerne un bâtiment de la FWB </t>
    </r>
    <r>
      <rPr>
        <b/>
        <u/>
        <sz val="10"/>
        <color rgb="FFFF0000"/>
        <rFont val="Arial"/>
        <family val="2"/>
      </rPr>
      <t>ou</t>
    </r>
    <r>
      <rPr>
        <sz val="10"/>
        <color rgb="FFFF0000"/>
        <rFont val="Arial"/>
        <family val="2"/>
      </rPr>
      <t xml:space="preserve"> bénéficie d'une subvention auprès de la FW-B pour les travaux, ce montant de base est doublé (ne pas modifier ici: cela se fait automatiquement dans l'onglet détail)</t>
    </r>
  </si>
  <si>
    <t>Le projet  porte sur un bâtiment de la FWB ou bénéficie d'une subvention"travaux" auprès de la FW-B</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</si>
</sst>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0\ &quot;€&quot;;\-#,##0\ &quot;€&quot;"/>
    <numFmt numFmtId="164" formatCode="_-* #,##0.00&quot; €&quot;_-;\-* #,##0.00&quot; €&quot;_-;_-* \-??&quot; €&quot;_-;_-@_-"/>
    <numFmt numFmtId="165" formatCode="#,##0&quot; €&quot;;[Red]\-#,##0&quot; €&quot;"/>
    <numFmt numFmtId="166" formatCode="#,##0.00&quot; €&quot;"/>
    <numFmt numFmtId="167" formatCode="_-* #,##0&quot; €&quot;_-;\-* #,##0&quot; €&quot;_-;_-* &quot;- €&quot;_-;_-@_-"/>
    <numFmt numFmtId="168" formatCode="0.00_ ;[Red]\-0.00\ "/>
    <numFmt numFmtId="169" formatCode="0.0%"/>
    <numFmt numFmtId="170" formatCode="&quot;&quot;0.00%\)"/>
    <numFmt numFmtId="171" formatCode="\(0.00%\)"/>
    <numFmt numFmtId="172" formatCode="0.000%"/>
    <numFmt numFmtId="173" formatCode="&quot;€&quot;\ #,##0.00"/>
    <numFmt numFmtId="174" formatCode="0.0"/>
    <numFmt numFmtId="175" formatCode="0.000"/>
    <numFmt numFmtId="176" formatCode="#,##0\ &quot;€&quot;"/>
    <numFmt numFmtId="177" formatCode="#,##0.00\ &quot;€&quot;"/>
  </numFmts>
  <fonts count="51" x14ac:knownFonts="1">
    <font>
      <sz val="10"/>
      <name val="Arial"/>
      <family val="2"/>
    </font>
    <font>
      <sz val="10"/>
      <name val="Arial"/>
      <family val="2"/>
    </font>
    <font>
      <b/>
      <sz val="10"/>
      <name val="Arial"/>
      <family val="2"/>
    </font>
    <font>
      <b/>
      <sz val="10"/>
      <color indexed="10"/>
      <name val="Arial"/>
      <family val="2"/>
    </font>
    <font>
      <sz val="16"/>
      <name val="Arial"/>
      <family val="2"/>
    </font>
    <font>
      <sz val="8"/>
      <name val="Arial"/>
      <family val="2"/>
    </font>
    <font>
      <b/>
      <sz val="12"/>
      <name val="Arial"/>
      <family val="2"/>
    </font>
    <font>
      <sz val="12"/>
      <name val="Arial"/>
      <family val="2"/>
    </font>
    <font>
      <sz val="10"/>
      <name val="Arial"/>
      <family val="2"/>
    </font>
    <font>
      <sz val="9"/>
      <color indexed="81"/>
      <name val="Tahoma"/>
      <family val="2"/>
    </font>
    <font>
      <b/>
      <sz val="9"/>
      <color indexed="81"/>
      <name val="Tahoma"/>
      <family val="2"/>
    </font>
    <font>
      <sz val="9"/>
      <name val="Arial"/>
      <family val="2"/>
    </font>
    <font>
      <sz val="10"/>
      <color theme="3" tint="0.39997558519241921"/>
      <name val="Arial"/>
      <family val="2"/>
    </font>
    <font>
      <sz val="16"/>
      <color theme="3" tint="0.39997558519241921"/>
      <name val="Arial"/>
      <family val="2"/>
    </font>
    <font>
      <b/>
      <sz val="10"/>
      <color theme="3" tint="0.39997558519241921"/>
      <name val="Arial"/>
      <family val="2"/>
    </font>
    <font>
      <sz val="10"/>
      <color rgb="FF0226BE"/>
      <name val="Arial"/>
      <family val="2"/>
    </font>
    <font>
      <b/>
      <sz val="14"/>
      <name val="Arial"/>
      <family val="2"/>
    </font>
    <font>
      <sz val="10"/>
      <color indexed="10"/>
      <name val="Arial"/>
      <family val="2"/>
    </font>
    <font>
      <sz val="10"/>
      <color indexed="12"/>
      <name val="Arial"/>
      <family val="2"/>
    </font>
    <font>
      <b/>
      <sz val="18"/>
      <name val="Arial"/>
      <family val="2"/>
    </font>
    <font>
      <sz val="10"/>
      <color rgb="FF00B050"/>
      <name val="Arial"/>
      <family val="2"/>
    </font>
    <font>
      <i/>
      <sz val="10"/>
      <name val="Arial"/>
      <family val="2"/>
    </font>
    <font>
      <sz val="11"/>
      <name val="Arial"/>
      <family val="2"/>
    </font>
    <font>
      <b/>
      <sz val="11"/>
      <name val="Arial"/>
      <family val="2"/>
    </font>
    <font>
      <sz val="12"/>
      <color rgb="FF0070C0"/>
      <name val="Arial"/>
      <family val="2"/>
    </font>
    <font>
      <sz val="10"/>
      <name val="Wingdings"/>
      <charset val="2"/>
    </font>
    <font>
      <u/>
      <sz val="10"/>
      <color indexed="12"/>
      <name val="Arial"/>
      <family val="2"/>
    </font>
    <font>
      <b/>
      <sz val="8"/>
      <color indexed="81"/>
      <name val="Tahoma"/>
      <family val="2"/>
    </font>
    <font>
      <sz val="8"/>
      <color indexed="81"/>
      <name val="Tahoma"/>
      <family val="2"/>
    </font>
    <font>
      <sz val="6"/>
      <name val="Arial"/>
      <family val="2"/>
    </font>
    <font>
      <b/>
      <i/>
      <sz val="10"/>
      <name val="Arial"/>
      <family val="2"/>
    </font>
    <font>
      <i/>
      <sz val="12"/>
      <name val="Arial"/>
      <family val="2"/>
    </font>
    <font>
      <b/>
      <sz val="11"/>
      <color theme="3" tint="0.39997558519241921"/>
      <name val="Arial"/>
      <family val="2"/>
    </font>
    <font>
      <sz val="10"/>
      <color rgb="FF0070C0"/>
      <name val="Arial"/>
      <family val="2"/>
    </font>
    <font>
      <sz val="10"/>
      <color theme="4" tint="-0.249977111117893"/>
      <name val="Arial"/>
      <family val="2"/>
    </font>
    <font>
      <sz val="8"/>
      <color rgb="FF0226BE"/>
      <name val="Arial"/>
      <family val="2"/>
    </font>
    <font>
      <b/>
      <sz val="8"/>
      <name val="Arial"/>
      <family val="2"/>
    </font>
    <font>
      <sz val="10"/>
      <color theme="4"/>
      <name val="Arial"/>
      <family val="2"/>
    </font>
    <font>
      <sz val="8"/>
      <color theme="4"/>
      <name val="Arial"/>
      <family val="2"/>
    </font>
    <font>
      <b/>
      <sz val="12"/>
      <color rgb="FF0070C0"/>
      <name val="Arial"/>
      <family val="2"/>
    </font>
    <font>
      <b/>
      <sz val="11"/>
      <color rgb="FFFF0000"/>
      <name val="Arial"/>
      <family val="2"/>
    </font>
    <font>
      <sz val="10"/>
      <color rgb="FFFF0000"/>
      <name val="Arial"/>
      <family val="2"/>
    </font>
    <font>
      <u/>
      <sz val="8"/>
      <color indexed="81"/>
      <name val="Tahoma"/>
      <family val="2"/>
    </font>
    <font>
      <u/>
      <sz val="9"/>
      <color indexed="81"/>
      <name val="Tahoma"/>
      <family val="2"/>
    </font>
    <font>
      <u/>
      <sz val="8"/>
      <name val="Arial"/>
      <family val="2"/>
    </font>
    <font>
      <i/>
      <sz val="8"/>
      <color rgb="FF0070C0"/>
      <name val="Arial"/>
      <family val="2"/>
    </font>
    <font>
      <sz val="22"/>
      <name val="Arial"/>
      <family val="2"/>
    </font>
    <font>
      <b/>
      <sz val="10"/>
      <color indexed="81"/>
      <name val="Tahoma"/>
      <family val="2"/>
    </font>
    <font>
      <sz val="10"/>
      <color indexed="81"/>
      <name val="Tahoma"/>
      <family val="2"/>
    </font>
    <font>
      <b/>
      <u/>
      <sz val="10"/>
      <color rgb="FFFF0000"/>
      <name val="Arial"/>
      <family val="2"/>
    </font>
    <font>
      <b/>
      <sz val="14"/>
      <color rgb="FFFF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bgColor indexed="64"/>
      </patternFill>
    </fill>
  </fills>
  <borders count="66">
    <border>
      <left/>
      <right/>
      <top/>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right/>
      <top/>
      <bottom style="thin">
        <color indexed="8"/>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right/>
      <top style="thin">
        <color indexed="8"/>
      </top>
      <bottom/>
      <diagonal/>
    </border>
    <border>
      <left/>
      <right/>
      <top style="thin">
        <color indexed="64"/>
      </top>
      <bottom style="thin">
        <color indexed="64"/>
      </bottom>
      <diagonal/>
    </border>
    <border>
      <left/>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bottom style="thin">
        <color indexed="64"/>
      </bottom>
      <diagonal/>
    </border>
    <border>
      <left style="thin">
        <color auto="1"/>
      </left>
      <right style="medium">
        <color auto="1"/>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auto="1"/>
      </left>
      <right style="medium">
        <color indexed="64"/>
      </right>
      <top style="medium">
        <color indexed="64"/>
      </top>
      <bottom style="thin">
        <color indexed="64"/>
      </bottom>
      <diagonal/>
    </border>
    <border>
      <left style="thin">
        <color auto="1"/>
      </left>
      <right/>
      <top style="thin">
        <color auto="1"/>
      </top>
      <bottom style="thin">
        <color auto="1"/>
      </bottom>
      <diagonal/>
    </border>
    <border>
      <left style="medium">
        <color auto="1"/>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auto="1"/>
      </left>
      <right style="medium">
        <color indexed="64"/>
      </right>
      <top style="thin">
        <color indexed="64"/>
      </top>
      <bottom/>
      <diagonal/>
    </border>
    <border>
      <left style="medium">
        <color auto="1"/>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auto="1"/>
      </left>
      <right style="medium">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indexed="64"/>
      </top>
      <bottom style="thin">
        <color indexed="64"/>
      </bottom>
      <diagonal/>
    </border>
    <border>
      <left style="medium">
        <color auto="1"/>
      </left>
      <right style="thin">
        <color auto="1"/>
      </right>
      <top style="thin">
        <color indexed="64"/>
      </top>
      <bottom style="medium">
        <color auto="1"/>
      </bottom>
      <diagonal/>
    </border>
  </borders>
  <cellStyleXfs count="6">
    <xf numFmtId="0" fontId="0" fillId="0" borderId="0"/>
    <xf numFmtId="164" fontId="8" fillId="0" borderId="0" applyFill="0" applyBorder="0" applyAlignment="0" applyProtection="0"/>
    <xf numFmtId="9" fontId="1" fillId="0" borderId="0" applyFill="0" applyBorder="0" applyAlignment="0" applyProtection="0"/>
    <xf numFmtId="164" fontId="1" fillId="0" borderId="0" applyFill="0" applyBorder="0" applyAlignment="0" applyProtection="0"/>
    <xf numFmtId="0" fontId="1" fillId="0" borderId="0"/>
    <xf numFmtId="0" fontId="26" fillId="0" borderId="0" applyNumberFormat="0" applyFill="0" applyBorder="0" applyAlignment="0" applyProtection="0">
      <alignment vertical="top"/>
      <protection locked="0"/>
    </xf>
  </cellStyleXfs>
  <cellXfs count="375">
    <xf numFmtId="0" fontId="0" fillId="0" borderId="0" xfId="0"/>
    <xf numFmtId="0" fontId="0" fillId="0" borderId="0" xfId="0" applyFont="1"/>
    <xf numFmtId="0" fontId="0" fillId="0" borderId="2" xfId="0" applyFont="1" applyBorder="1" applyAlignment="1">
      <alignment horizontal="center" wrapText="1"/>
    </xf>
    <xf numFmtId="9" fontId="0" fillId="0" borderId="3" xfId="0" applyNumberFormat="1" applyFont="1" applyBorder="1" applyAlignment="1">
      <alignment horizontal="center"/>
    </xf>
    <xf numFmtId="10" fontId="0" fillId="0" borderId="4" xfId="0" applyNumberFormat="1" applyFont="1" applyBorder="1" applyAlignment="1">
      <alignment horizontal="center"/>
    </xf>
    <xf numFmtId="9" fontId="0" fillId="0" borderId="4" xfId="0" applyNumberFormat="1"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right"/>
    </xf>
    <xf numFmtId="166" fontId="0" fillId="0" borderId="3" xfId="0" applyNumberFormat="1" applyFont="1" applyBorder="1"/>
    <xf numFmtId="166" fontId="0" fillId="0" borderId="4" xfId="0" applyNumberFormat="1" applyFont="1" applyBorder="1"/>
    <xf numFmtId="166" fontId="0" fillId="0" borderId="5" xfId="0" applyNumberFormat="1" applyFont="1" applyBorder="1"/>
    <xf numFmtId="2" fontId="0" fillId="0" borderId="1" xfId="0" applyNumberFormat="1" applyFont="1" applyBorder="1"/>
    <xf numFmtId="2" fontId="0" fillId="0" borderId="0" xfId="0" applyNumberFormat="1" applyFont="1"/>
    <xf numFmtId="0" fontId="0" fillId="0" borderId="7" xfId="0" applyFont="1" applyBorder="1"/>
    <xf numFmtId="0" fontId="0" fillId="0" borderId="8" xfId="0" applyFont="1" applyBorder="1"/>
    <xf numFmtId="166" fontId="0" fillId="0" borderId="9" xfId="0" applyNumberFormat="1" applyFont="1" applyBorder="1" applyAlignment="1">
      <alignment horizontal="center" wrapText="1"/>
    </xf>
    <xf numFmtId="166" fontId="0" fillId="0" borderId="9" xfId="0" applyNumberFormat="1" applyFont="1" applyBorder="1"/>
    <xf numFmtId="0" fontId="0" fillId="0" borderId="9" xfId="0" applyFont="1" applyBorder="1" applyAlignment="1">
      <alignment horizontal="center"/>
    </xf>
    <xf numFmtId="166" fontId="0" fillId="0" borderId="10" xfId="0" applyNumberFormat="1" applyFont="1" applyBorder="1"/>
    <xf numFmtId="0" fontId="0" fillId="0" borderId="10" xfId="0" applyFont="1" applyBorder="1" applyAlignment="1">
      <alignment horizontal="center"/>
    </xf>
    <xf numFmtId="166" fontId="2" fillId="0" borderId="11" xfId="0" applyNumberFormat="1" applyFont="1" applyBorder="1"/>
    <xf numFmtId="4" fontId="0" fillId="0" borderId="1" xfId="0" applyNumberFormat="1" applyFont="1" applyBorder="1"/>
    <xf numFmtId="0" fontId="0" fillId="0" borderId="5" xfId="0" applyFont="1" applyBorder="1"/>
    <xf numFmtId="166" fontId="0" fillId="0" borderId="12" xfId="0" applyNumberFormat="1" applyFont="1" applyBorder="1"/>
    <xf numFmtId="166" fontId="0" fillId="0" borderId="13" xfId="0" applyNumberFormat="1" applyFont="1" applyBorder="1"/>
    <xf numFmtId="0" fontId="0" fillId="0" borderId="10" xfId="0" applyFont="1" applyBorder="1"/>
    <xf numFmtId="0" fontId="2" fillId="0" borderId="6" xfId="0" applyFont="1" applyBorder="1"/>
    <xf numFmtId="166" fontId="2" fillId="0" borderId="2" xfId="0" applyNumberFormat="1" applyFont="1" applyBorder="1"/>
    <xf numFmtId="2" fontId="2" fillId="0" borderId="5" xfId="0" applyNumberFormat="1" applyFont="1" applyBorder="1"/>
    <xf numFmtId="166" fontId="0" fillId="0" borderId="0" xfId="0" applyNumberFormat="1" applyFont="1"/>
    <xf numFmtId="2" fontId="0" fillId="0" borderId="0" xfId="0" applyNumberFormat="1" applyFont="1" applyBorder="1"/>
    <xf numFmtId="0" fontId="0" fillId="0" borderId="0" xfId="0" applyFont="1" applyAlignment="1"/>
    <xf numFmtId="4" fontId="2" fillId="0" borderId="5" xfId="0" applyNumberFormat="1" applyFont="1" applyBorder="1"/>
    <xf numFmtId="0" fontId="2" fillId="0" borderId="14" xfId="0" applyFont="1" applyBorder="1"/>
    <xf numFmtId="166" fontId="2" fillId="0" borderId="15" xfId="0" applyNumberFormat="1" applyFont="1" applyBorder="1"/>
    <xf numFmtId="0" fontId="2" fillId="0" borderId="11" xfId="0" applyFont="1" applyBorder="1"/>
    <xf numFmtId="166" fontId="2" fillId="0" borderId="16" xfId="0" applyNumberFormat="1" applyFont="1" applyBorder="1"/>
    <xf numFmtId="10" fontId="0" fillId="0" borderId="6" xfId="0" applyNumberFormat="1" applyFont="1" applyBorder="1" applyAlignment="1">
      <alignment horizontal="center"/>
    </xf>
    <xf numFmtId="166" fontId="0" fillId="0" borderId="1" xfId="0" applyNumberFormat="1" applyFont="1" applyBorder="1"/>
    <xf numFmtId="168" fontId="0" fillId="0" borderId="10" xfId="0" applyNumberFormat="1" applyFont="1" applyBorder="1"/>
    <xf numFmtId="0" fontId="0" fillId="0" borderId="0" xfId="0" applyFont="1" applyFill="1" applyBorder="1"/>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Alignment="1">
      <alignment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4" fillId="0" borderId="0" xfId="0" applyFont="1"/>
    <xf numFmtId="2" fontId="4" fillId="0" borderId="0" xfId="0" applyNumberFormat="1" applyFont="1"/>
    <xf numFmtId="0" fontId="0" fillId="0" borderId="16" xfId="0" applyFont="1" applyBorder="1"/>
    <xf numFmtId="166" fontId="0" fillId="0" borderId="0" xfId="0" applyNumberFormat="1" applyFont="1" applyBorder="1" applyAlignment="1">
      <alignment horizontal="center" wrapText="1"/>
    </xf>
    <xf numFmtId="166" fontId="0" fillId="0" borderId="0" xfId="0" applyNumberFormat="1" applyFont="1" applyBorder="1"/>
    <xf numFmtId="166" fontId="2" fillId="0" borderId="0" xfId="0" applyNumberFormat="1" applyFont="1" applyBorder="1"/>
    <xf numFmtId="166" fontId="0" fillId="0" borderId="0" xfId="0" applyNumberFormat="1" applyBorder="1"/>
    <xf numFmtId="10" fontId="0" fillId="0" borderId="0" xfId="0" applyNumberFormat="1" applyFont="1" applyBorder="1" applyAlignment="1">
      <alignment horizontal="center"/>
    </xf>
    <xf numFmtId="4" fontId="0" fillId="0" borderId="12" xfId="0" applyNumberFormat="1" applyFont="1" applyBorder="1"/>
    <xf numFmtId="4" fontId="0" fillId="0" borderId="13" xfId="0" applyNumberFormat="1" applyFont="1" applyBorder="1"/>
    <xf numFmtId="0" fontId="12" fillId="0" borderId="0" xfId="0" applyFont="1"/>
    <xf numFmtId="10" fontId="12" fillId="0" borderId="0" xfId="0" applyNumberFormat="1" applyFont="1"/>
    <xf numFmtId="0" fontId="13" fillId="0" borderId="0" xfId="0" applyFont="1"/>
    <xf numFmtId="0" fontId="12" fillId="0" borderId="0" xfId="0" applyFont="1" applyFill="1" applyBorder="1" applyAlignment="1">
      <alignment horizontal="center" vertical="center" wrapText="1"/>
    </xf>
    <xf numFmtId="10" fontId="14" fillId="0" borderId="0" xfId="0" applyNumberFormat="1" applyFont="1"/>
    <xf numFmtId="0" fontId="0" fillId="0" borderId="0" xfId="0" applyFill="1" applyBorder="1"/>
    <xf numFmtId="0" fontId="15" fillId="0" borderId="0" xfId="0" applyFont="1" applyFill="1" applyBorder="1"/>
    <xf numFmtId="166" fontId="15" fillId="0" borderId="0" xfId="0" applyNumberFormat="1" applyFont="1"/>
    <xf numFmtId="0" fontId="15" fillId="0" borderId="0" xfId="0" applyFont="1"/>
    <xf numFmtId="0" fontId="5" fillId="0" borderId="0" xfId="0" applyFont="1" applyBorder="1" applyAlignment="1">
      <alignment vertical="top" wrapText="1"/>
    </xf>
    <xf numFmtId="0" fontId="11" fillId="0" borderId="0" xfId="0" applyFont="1" applyBorder="1" applyAlignment="1">
      <alignment vertical="top" wrapText="1"/>
    </xf>
    <xf numFmtId="0" fontId="5" fillId="0" borderId="0" xfId="0" applyFont="1" applyAlignment="1">
      <alignment wrapText="1"/>
    </xf>
    <xf numFmtId="0" fontId="0" fillId="0" borderId="1" xfId="0" applyFont="1" applyBorder="1" applyAlignment="1">
      <alignment horizontal="center"/>
    </xf>
    <xf numFmtId="0" fontId="0" fillId="0" borderId="1" xfId="0" applyFont="1" applyBorder="1" applyAlignment="1">
      <alignment horizontal="center" wrapText="1"/>
    </xf>
    <xf numFmtId="0" fontId="0" fillId="0" borderId="7" xfId="0" applyBorder="1"/>
    <xf numFmtId="0" fontId="0" fillId="0" borderId="14" xfId="0" applyBorder="1"/>
    <xf numFmtId="0" fontId="16" fillId="0" borderId="15" xfId="0" applyFont="1" applyBorder="1"/>
    <xf numFmtId="0" fontId="2" fillId="0" borderId="15" xfId="0" applyFont="1" applyBorder="1"/>
    <xf numFmtId="0" fontId="0" fillId="0" borderId="15" xfId="0" applyBorder="1"/>
    <xf numFmtId="0" fontId="0" fillId="0" borderId="17" xfId="0" applyBorder="1"/>
    <xf numFmtId="0" fontId="0" fillId="0" borderId="0" xfId="0" applyBorder="1"/>
    <xf numFmtId="0" fontId="2" fillId="0" borderId="0" xfId="0" applyFont="1" applyBorder="1"/>
    <xf numFmtId="0" fontId="0" fillId="0" borderId="8" xfId="0" applyBorder="1"/>
    <xf numFmtId="0" fontId="17" fillId="0" borderId="0" xfId="0" applyFont="1" applyBorder="1"/>
    <xf numFmtId="0" fontId="0" fillId="0" borderId="0" xfId="0" applyFont="1" applyBorder="1" applyAlignment="1">
      <alignment horizontal="right"/>
    </xf>
    <xf numFmtId="0" fontId="11" fillId="0" borderId="0" xfId="0" applyFont="1" applyBorder="1" applyAlignment="1">
      <alignment horizontal="right"/>
    </xf>
    <xf numFmtId="166" fontId="11" fillId="0" borderId="0" xfId="0" applyNumberFormat="1" applyFont="1" applyBorder="1"/>
    <xf numFmtId="0" fontId="2" fillId="0" borderId="0" xfId="0" applyFont="1" applyBorder="1" applyAlignment="1">
      <alignment horizontal="left"/>
    </xf>
    <xf numFmtId="0" fontId="0" fillId="0" borderId="0" xfId="0" applyFont="1" applyBorder="1"/>
    <xf numFmtId="0" fontId="5" fillId="0" borderId="0" xfId="0" applyFont="1" applyBorder="1"/>
    <xf numFmtId="0" fontId="5" fillId="0" borderId="0" xfId="0" applyFont="1" applyBorder="1" applyAlignment="1">
      <alignment horizontal="right"/>
    </xf>
    <xf numFmtId="164" fontId="0" fillId="0" borderId="0" xfId="0" applyNumberFormat="1" applyBorder="1"/>
    <xf numFmtId="10" fontId="0" fillId="0" borderId="0" xfId="0" applyNumberFormat="1" applyBorder="1"/>
    <xf numFmtId="0" fontId="0" fillId="0" borderId="19" xfId="0" applyFont="1" applyBorder="1"/>
    <xf numFmtId="10" fontId="0" fillId="0" borderId="19" xfId="0" applyNumberFormat="1" applyBorder="1"/>
    <xf numFmtId="166" fontId="0" fillId="0" borderId="19" xfId="0" applyNumberFormat="1" applyBorder="1"/>
    <xf numFmtId="0" fontId="18" fillId="0" borderId="0" xfId="0" applyFont="1" applyBorder="1"/>
    <xf numFmtId="170" fontId="5" fillId="0" borderId="0" xfId="2" applyNumberFormat="1" applyFont="1" applyFill="1" applyBorder="1" applyAlignment="1" applyProtection="1">
      <alignment horizontal="left"/>
    </xf>
    <xf numFmtId="171" fontId="1" fillId="0" borderId="0" xfId="2" applyNumberFormat="1" applyFont="1" applyFill="1" applyBorder="1" applyAlignment="1" applyProtection="1">
      <alignment horizontal="left"/>
    </xf>
    <xf numFmtId="0" fontId="2" fillId="0" borderId="0" xfId="0" applyFont="1" applyBorder="1" applyAlignment="1">
      <alignment horizontal="right"/>
    </xf>
    <xf numFmtId="0" fontId="0" fillId="0" borderId="0" xfId="0" applyFont="1" applyBorder="1" applyAlignment="1">
      <alignment horizontal="left"/>
    </xf>
    <xf numFmtId="170" fontId="1" fillId="0" borderId="0" xfId="2" applyNumberFormat="1" applyFont="1" applyFill="1" applyBorder="1" applyAlignment="1" applyProtection="1">
      <alignment horizontal="left"/>
    </xf>
    <xf numFmtId="0" fontId="5" fillId="0" borderId="0" xfId="0" applyFont="1" applyBorder="1" applyAlignment="1">
      <alignment horizontal="left"/>
    </xf>
    <xf numFmtId="0" fontId="0" fillId="0" borderId="11" xfId="0" applyBorder="1"/>
    <xf numFmtId="0" fontId="0" fillId="0" borderId="16" xfId="0" applyBorder="1"/>
    <xf numFmtId="0" fontId="0" fillId="0" borderId="10" xfId="0" applyBorder="1"/>
    <xf numFmtId="164" fontId="1" fillId="0" borderId="0" xfId="3" applyFont="1" applyFill="1" applyBorder="1" applyAlignment="1" applyProtection="1"/>
    <xf numFmtId="4" fontId="0" fillId="0" borderId="0" xfId="0" applyNumberFormat="1" applyBorder="1"/>
    <xf numFmtId="172" fontId="1" fillId="0" borderId="0" xfId="2" applyNumberFormat="1" applyFont="1" applyFill="1" applyBorder="1" applyAlignment="1" applyProtection="1"/>
    <xf numFmtId="172" fontId="0" fillId="0" borderId="0" xfId="0" applyNumberFormat="1" applyBorder="1"/>
    <xf numFmtId="0" fontId="0" fillId="0" borderId="0" xfId="0" applyNumberFormat="1" applyBorder="1"/>
    <xf numFmtId="13" fontId="1" fillId="0" borderId="0" xfId="2" applyNumberFormat="1" applyFont="1" applyFill="1" applyBorder="1" applyAlignment="1" applyProtection="1">
      <alignment horizontal="center" vertical="center"/>
    </xf>
    <xf numFmtId="1" fontId="0" fillId="0" borderId="0" xfId="0" applyNumberFormat="1" applyBorder="1"/>
    <xf numFmtId="0" fontId="19" fillId="0" borderId="0" xfId="0" applyFont="1"/>
    <xf numFmtId="173" fontId="0" fillId="0" borderId="0" xfId="0" applyNumberFormat="1"/>
    <xf numFmtId="0" fontId="2" fillId="0" borderId="0" xfId="0" applyFont="1"/>
    <xf numFmtId="173" fontId="2" fillId="0" borderId="0" xfId="0" applyNumberFormat="1" applyFont="1" applyFill="1" applyBorder="1"/>
    <xf numFmtId="167" fontId="7" fillId="2" borderId="24" xfId="0" applyNumberFormat="1" applyFont="1" applyFill="1" applyBorder="1" applyAlignment="1"/>
    <xf numFmtId="173" fontId="7" fillId="2" borderId="22" xfId="0" applyNumberFormat="1" applyFont="1" applyFill="1" applyBorder="1" applyAlignment="1"/>
    <xf numFmtId="0" fontId="21" fillId="0" borderId="24" xfId="0" applyFont="1" applyBorder="1"/>
    <xf numFmtId="167" fontId="0" fillId="0" borderId="0" xfId="0" applyNumberFormat="1"/>
    <xf numFmtId="167" fontId="22" fillId="0" borderId="0" xfId="0" applyNumberFormat="1" applyFont="1"/>
    <xf numFmtId="0" fontId="22" fillId="0" borderId="0" xfId="0" applyFont="1"/>
    <xf numFmtId="0" fontId="23" fillId="0" borderId="0" xfId="0" applyFont="1"/>
    <xf numFmtId="0" fontId="22" fillId="0" borderId="25" xfId="0" applyFont="1" applyBorder="1" applyAlignment="1">
      <alignment horizontal="right"/>
    </xf>
    <xf numFmtId="173" fontId="6" fillId="0" borderId="26" xfId="0" applyNumberFormat="1" applyFont="1" applyBorder="1"/>
    <xf numFmtId="0" fontId="22" fillId="0" borderId="0" xfId="0" applyFont="1" applyAlignment="1">
      <alignment horizontal="right"/>
    </xf>
    <xf numFmtId="167" fontId="23" fillId="0" borderId="0" xfId="0" applyNumberFormat="1" applyFont="1"/>
    <xf numFmtId="173" fontId="23" fillId="0" borderId="0" xfId="0" applyNumberFormat="1" applyFont="1"/>
    <xf numFmtId="0" fontId="24" fillId="0" borderId="21" xfId="0" applyFont="1" applyBorder="1"/>
    <xf numFmtId="0" fontId="0" fillId="0" borderId="20" xfId="0" applyFont="1" applyBorder="1"/>
    <xf numFmtId="0" fontId="12" fillId="0" borderId="0" xfId="0" applyFont="1" applyAlignment="1">
      <alignment horizontal="right"/>
    </xf>
    <xf numFmtId="0" fontId="1" fillId="0" borderId="0" xfId="4"/>
    <xf numFmtId="0" fontId="1" fillId="0" borderId="0" xfId="4" applyFont="1" applyAlignment="1">
      <alignment horizontal="right" vertical="top"/>
    </xf>
    <xf numFmtId="0" fontId="25" fillId="0" borderId="0" xfId="4" applyFont="1" applyAlignment="1">
      <alignment horizontal="right" vertical="top"/>
    </xf>
    <xf numFmtId="10" fontId="0" fillId="0" borderId="1" xfId="0" applyNumberFormat="1" applyFont="1" applyBorder="1" applyAlignment="1">
      <alignment horizontal="center"/>
    </xf>
    <xf numFmtId="166" fontId="2" fillId="0" borderId="1" xfId="0" applyNumberFormat="1" applyFont="1" applyBorder="1"/>
    <xf numFmtId="0" fontId="0" fillId="0" borderId="1" xfId="0" applyBorder="1" applyAlignment="1">
      <alignment horizontal="center" wrapText="1"/>
    </xf>
    <xf numFmtId="0" fontId="0" fillId="0" borderId="5" xfId="0" applyFont="1" applyBorder="1" applyAlignment="1">
      <alignment horizontal="center" wrapText="1"/>
    </xf>
    <xf numFmtId="0" fontId="12" fillId="0" borderId="0" xfId="0" applyFont="1" applyFill="1" applyBorder="1" applyAlignment="1">
      <alignment horizontal="center" wrapText="1"/>
    </xf>
    <xf numFmtId="2" fontId="0" fillId="0" borderId="10" xfId="0" applyNumberFormat="1" applyFont="1" applyBorder="1"/>
    <xf numFmtId="0" fontId="0" fillId="0" borderId="0" xfId="0" applyBorder="1" applyAlignment="1">
      <alignment vertical="top" wrapText="1"/>
    </xf>
    <xf numFmtId="9" fontId="14" fillId="0" borderId="0" xfId="0" applyNumberFormat="1" applyFont="1"/>
    <xf numFmtId="0" fontId="0" fillId="0" borderId="6" xfId="0" applyFont="1" applyBorder="1"/>
    <xf numFmtId="166" fontId="0" fillId="0" borderId="2" xfId="0" applyNumberFormat="1" applyFont="1" applyBorder="1"/>
    <xf numFmtId="4" fontId="0" fillId="0" borderId="5" xfId="0" applyNumberFormat="1" applyFont="1" applyBorder="1"/>
    <xf numFmtId="0" fontId="0" fillId="0" borderId="0" xfId="0" applyFont="1" applyAlignment="1">
      <alignment horizontal="right"/>
    </xf>
    <xf numFmtId="174" fontId="2" fillId="0" borderId="0" xfId="0" applyNumberFormat="1" applyFont="1"/>
    <xf numFmtId="0" fontId="0" fillId="0" borderId="5" xfId="0" applyBorder="1" applyAlignment="1">
      <alignment horizontal="center" vertical="center" wrapText="1"/>
    </xf>
    <xf numFmtId="0" fontId="0" fillId="0" borderId="0" xfId="0" applyBorder="1" applyAlignment="1">
      <alignment horizontal="center" vertical="center" wrapText="1"/>
    </xf>
    <xf numFmtId="0" fontId="5" fillId="0" borderId="0" xfId="0" applyNumberFormat="1" applyFont="1" applyBorder="1" applyAlignment="1">
      <alignment horizontal="center" vertical="top" wrapText="1"/>
    </xf>
    <xf numFmtId="0" fontId="0" fillId="0" borderId="0" xfId="0" applyBorder="1" applyAlignment="1">
      <alignment horizontal="center" vertical="center"/>
    </xf>
    <xf numFmtId="0" fontId="5" fillId="0" borderId="0" xfId="0" applyFont="1" applyBorder="1" applyAlignment="1">
      <alignment horizontal="center" vertical="center" wrapText="1"/>
    </xf>
    <xf numFmtId="175" fontId="0" fillId="0" borderId="16" xfId="0" applyNumberFormat="1" applyBorder="1" applyAlignment="1">
      <alignment horizontal="right"/>
    </xf>
    <xf numFmtId="1" fontId="0" fillId="0" borderId="16" xfId="0" applyNumberFormat="1" applyBorder="1" applyAlignment="1">
      <alignment horizontal="right"/>
    </xf>
    <xf numFmtId="14" fontId="0" fillId="0" borderId="16" xfId="0" applyNumberFormat="1" applyBorder="1"/>
    <xf numFmtId="166" fontId="0" fillId="0" borderId="16" xfId="0" applyNumberFormat="1" applyFont="1" applyBorder="1"/>
    <xf numFmtId="0" fontId="0" fillId="0" borderId="0" xfId="0" applyBorder="1" applyAlignment="1">
      <alignment horizontal="right"/>
    </xf>
    <xf numFmtId="0" fontId="29" fillId="0" borderId="0" xfId="0" applyFont="1" applyBorder="1" applyAlignment="1">
      <alignment horizontal="left" wrapText="1"/>
    </xf>
    <xf numFmtId="171" fontId="18" fillId="0" borderId="0" xfId="2" applyNumberFormat="1" applyFont="1" applyFill="1" applyBorder="1" applyAlignment="1" applyProtection="1">
      <alignment horizontal="left"/>
    </xf>
    <xf numFmtId="166" fontId="2" fillId="0" borderId="30" xfId="0" applyNumberFormat="1" applyFont="1" applyBorder="1"/>
    <xf numFmtId="0" fontId="2" fillId="0" borderId="30" xfId="0" applyFont="1" applyBorder="1" applyAlignment="1">
      <alignment horizontal="right"/>
    </xf>
    <xf numFmtId="0" fontId="0" fillId="0" borderId="30" xfId="0" applyFont="1" applyBorder="1"/>
    <xf numFmtId="166" fontId="0" fillId="0" borderId="30" xfId="0" applyNumberFormat="1" applyBorder="1"/>
    <xf numFmtId="0" fontId="2" fillId="0" borderId="31" xfId="0" applyNumberFormat="1" applyFont="1" applyBorder="1"/>
    <xf numFmtId="17" fontId="2" fillId="0" borderId="31" xfId="0" applyNumberFormat="1" applyFont="1" applyBorder="1" applyAlignment="1">
      <alignment horizontal="right"/>
    </xf>
    <xf numFmtId="0" fontId="2" fillId="0" borderId="31" xfId="0" applyFont="1" applyBorder="1"/>
    <xf numFmtId="0" fontId="2" fillId="0" borderId="30" xfId="0" applyFont="1" applyBorder="1"/>
    <xf numFmtId="166" fontId="2" fillId="0" borderId="32" xfId="0" applyNumberFormat="1" applyFont="1" applyBorder="1"/>
    <xf numFmtId="0" fontId="2" fillId="0" borderId="32" xfId="0" applyFont="1" applyBorder="1"/>
    <xf numFmtId="173" fontId="7" fillId="0" borderId="0" xfId="0" applyNumberFormat="1" applyFont="1" applyBorder="1"/>
    <xf numFmtId="0" fontId="6" fillId="0" borderId="0" xfId="4" applyFont="1" applyAlignment="1">
      <alignment horizontal="left" vertical="top" wrapText="1"/>
    </xf>
    <xf numFmtId="0" fontId="2" fillId="0" borderId="0" xfId="4" applyFont="1"/>
    <xf numFmtId="167" fontId="2" fillId="4" borderId="10" xfId="3" applyNumberFormat="1" applyFont="1" applyFill="1" applyBorder="1" applyAlignment="1" applyProtection="1"/>
    <xf numFmtId="0" fontId="2" fillId="0" borderId="0" xfId="4" applyFont="1" applyAlignment="1">
      <alignment vertical="top" wrapText="1"/>
    </xf>
    <xf numFmtId="0" fontId="1" fillId="0" borderId="0" xfId="0" applyFont="1"/>
    <xf numFmtId="0" fontId="1" fillId="0" borderId="0" xfId="4" applyFont="1" applyAlignment="1">
      <alignment vertical="top" wrapText="1"/>
    </xf>
    <xf numFmtId="0" fontId="1" fillId="0" borderId="0" xfId="4" applyFont="1" applyAlignment="1">
      <alignment horizontal="left" vertical="top" wrapText="1" indent="1"/>
    </xf>
    <xf numFmtId="0" fontId="6" fillId="0" borderId="0" xfId="0" applyFont="1"/>
    <xf numFmtId="0" fontId="7" fillId="0" borderId="0" xfId="0" applyFont="1"/>
    <xf numFmtId="0" fontId="1" fillId="0" borderId="0" xfId="4" quotePrefix="1" applyFont="1" applyAlignment="1">
      <alignment horizontal="right" vertical="top"/>
    </xf>
    <xf numFmtId="0" fontId="2" fillId="3" borderId="0" xfId="4" applyFont="1" applyFill="1" applyBorder="1" applyAlignment="1">
      <alignment horizontal="right"/>
    </xf>
    <xf numFmtId="0" fontId="1" fillId="3" borderId="0" xfId="4" applyFont="1" applyFill="1" applyBorder="1" applyAlignment="1">
      <alignment horizontal="right"/>
    </xf>
    <xf numFmtId="0" fontId="26" fillId="3" borderId="0" xfId="5" applyFont="1" applyFill="1" applyBorder="1" applyAlignment="1" applyProtection="1">
      <alignment horizontal="right"/>
    </xf>
    <xf numFmtId="0" fontId="0" fillId="0" borderId="0" xfId="0" applyAlignment="1">
      <alignment horizontal="center"/>
    </xf>
    <xf numFmtId="173" fontId="0" fillId="0" borderId="0" xfId="0" applyNumberFormat="1" applyAlignment="1">
      <alignment horizontal="center"/>
    </xf>
    <xf numFmtId="173" fontId="12" fillId="0" borderId="0" xfId="0" applyNumberFormat="1" applyFont="1"/>
    <xf numFmtId="173" fontId="23" fillId="0" borderId="25" xfId="0" applyNumberFormat="1" applyFont="1" applyBorder="1" applyAlignment="1">
      <alignment horizontal="center"/>
    </xf>
    <xf numFmtId="173" fontId="23" fillId="0" borderId="0" xfId="0" applyNumberFormat="1" applyFont="1" applyBorder="1" applyAlignment="1">
      <alignment horizontal="center"/>
    </xf>
    <xf numFmtId="173" fontId="6" fillId="0" borderId="0" xfId="0" applyNumberFormat="1" applyFont="1"/>
    <xf numFmtId="167" fontId="0" fillId="0" borderId="0" xfId="0" applyNumberFormat="1" applyAlignment="1">
      <alignment wrapText="1"/>
    </xf>
    <xf numFmtId="167" fontId="22" fillId="0" borderId="0" xfId="0" applyNumberFormat="1" applyFont="1" applyAlignment="1">
      <alignment wrapText="1"/>
    </xf>
    <xf numFmtId="0" fontId="22" fillId="0" borderId="0" xfId="0" applyFont="1" applyAlignment="1">
      <alignment wrapText="1"/>
    </xf>
    <xf numFmtId="0" fontId="2" fillId="0" borderId="0" xfId="4" applyFont="1" applyAlignment="1">
      <alignment horizontal="left" vertical="top" wrapText="1"/>
    </xf>
    <xf numFmtId="0" fontId="0" fillId="0" borderId="29" xfId="0" applyFill="1" applyBorder="1"/>
    <xf numFmtId="173" fontId="19" fillId="0" borderId="0" xfId="0" applyNumberFormat="1" applyFont="1"/>
    <xf numFmtId="173" fontId="7" fillId="0" borderId="0" xfId="0" applyNumberFormat="1" applyFont="1"/>
    <xf numFmtId="166" fontId="2" fillId="5" borderId="0" xfId="0" applyNumberFormat="1" applyFont="1" applyFill="1" applyBorder="1"/>
    <xf numFmtId="165" fontId="2" fillId="5" borderId="5" xfId="0" applyNumberFormat="1" applyFont="1" applyFill="1" applyBorder="1"/>
    <xf numFmtId="166" fontId="2" fillId="4" borderId="33" xfId="0" applyNumberFormat="1" applyFont="1" applyFill="1" applyBorder="1"/>
    <xf numFmtId="0" fontId="5" fillId="0" borderId="0" xfId="0" applyFont="1" applyBorder="1" applyAlignment="1">
      <alignment horizontal="right" wrapText="1"/>
    </xf>
    <xf numFmtId="174" fontId="3" fillId="0" borderId="17" xfId="0" applyNumberFormat="1" applyFont="1" applyBorder="1"/>
    <xf numFmtId="1" fontId="24" fillId="0" borderId="0" xfId="0" applyNumberFormat="1" applyFont="1" applyBorder="1"/>
    <xf numFmtId="0" fontId="23" fillId="0" borderId="24" xfId="0" applyFont="1" applyFill="1" applyBorder="1" applyAlignment="1">
      <alignment horizontal="right"/>
    </xf>
    <xf numFmtId="167" fontId="22" fillId="0" borderId="24" xfId="0" applyNumberFormat="1" applyFont="1" applyFill="1" applyBorder="1" applyAlignment="1">
      <alignment wrapText="1"/>
    </xf>
    <xf numFmtId="167" fontId="0" fillId="0" borderId="24" xfId="0" applyNumberFormat="1" applyFill="1" applyBorder="1" applyAlignment="1">
      <alignment horizontal="right"/>
    </xf>
    <xf numFmtId="167" fontId="23" fillId="0" borderId="24" xfId="0" applyNumberFormat="1" applyFont="1" applyFill="1" applyBorder="1"/>
    <xf numFmtId="167" fontId="32" fillId="6" borderId="24" xfId="0" applyNumberFormat="1" applyFont="1" applyFill="1" applyBorder="1"/>
    <xf numFmtId="0" fontId="2" fillId="0" borderId="0" xfId="0" applyFont="1" applyBorder="1" applyAlignment="1">
      <alignment horizontal="center"/>
    </xf>
    <xf numFmtId="0" fontId="2" fillId="0" borderId="34" xfId="0" applyFont="1" applyBorder="1"/>
    <xf numFmtId="166" fontId="2" fillId="0" borderId="34" xfId="0" applyNumberFormat="1" applyFont="1" applyBorder="1"/>
    <xf numFmtId="0" fontId="0" fillId="0" borderId="35" xfId="0" applyFont="1" applyBorder="1"/>
    <xf numFmtId="10" fontId="0" fillId="0" borderId="35" xfId="0" applyNumberFormat="1" applyBorder="1"/>
    <xf numFmtId="166" fontId="0" fillId="0" borderId="35" xfId="0" applyNumberFormat="1" applyBorder="1"/>
    <xf numFmtId="0" fontId="2" fillId="0" borderId="35" xfId="0" applyFont="1" applyBorder="1" applyAlignment="1">
      <alignment horizontal="right"/>
    </xf>
    <xf numFmtId="166" fontId="2" fillId="0" borderId="35" xfId="0" applyNumberFormat="1" applyFont="1" applyBorder="1"/>
    <xf numFmtId="0" fontId="2" fillId="0" borderId="34" xfId="0" applyFont="1" applyBorder="1" applyAlignment="1">
      <alignment horizontal="left"/>
    </xf>
    <xf numFmtId="0" fontId="0" fillId="0" borderId="35" xfId="0" applyFont="1" applyBorder="1" applyAlignment="1">
      <alignment horizontal="right"/>
    </xf>
    <xf numFmtId="166" fontId="0" fillId="0" borderId="35" xfId="0" applyNumberFormat="1" applyFont="1" applyBorder="1"/>
    <xf numFmtId="0" fontId="6" fillId="0" borderId="34" xfId="0" applyFont="1" applyBorder="1" applyAlignment="1">
      <alignment horizontal="left"/>
    </xf>
    <xf numFmtId="0" fontId="6" fillId="0" borderId="34" xfId="0" applyFont="1" applyBorder="1" applyAlignment="1">
      <alignment horizontal="right"/>
    </xf>
    <xf numFmtId="166" fontId="6" fillId="0" borderId="34" xfId="0" applyNumberFormat="1" applyFont="1" applyBorder="1"/>
    <xf numFmtId="0" fontId="6" fillId="0" borderId="15" xfId="0" applyFont="1" applyBorder="1"/>
    <xf numFmtId="0" fontId="5" fillId="0" borderId="0" xfId="0" applyFont="1" applyBorder="1" applyAlignment="1">
      <alignment wrapText="1"/>
    </xf>
    <xf numFmtId="0" fontId="0" fillId="0" borderId="0" xfId="0" applyFont="1" applyBorder="1" applyAlignment="1">
      <alignment horizontal="left" vertical="center"/>
    </xf>
    <xf numFmtId="166" fontId="0" fillId="0" borderId="0" xfId="0" applyNumberFormat="1" applyFont="1" applyBorder="1" applyAlignment="1">
      <alignment vertical="center"/>
    </xf>
    <xf numFmtId="0" fontId="11" fillId="0" borderId="0" xfId="0" applyFont="1" applyBorder="1" applyAlignment="1">
      <alignment vertical="top" wrapText="1"/>
    </xf>
    <xf numFmtId="176" fontId="34" fillId="0" borderId="0" xfId="0" applyNumberFormat="1" applyFont="1"/>
    <xf numFmtId="0" fontId="11" fillId="0" borderId="0" xfId="0" applyFont="1" applyAlignment="1">
      <alignment vertical="top" wrapText="1"/>
    </xf>
    <xf numFmtId="0" fontId="37" fillId="0" borderId="0" xfId="0" applyFont="1"/>
    <xf numFmtId="0" fontId="37" fillId="0" borderId="0" xfId="0" applyFont="1" applyFill="1" applyBorder="1"/>
    <xf numFmtId="2" fontId="37" fillId="0" borderId="0" xfId="0" applyNumberFormat="1" applyFont="1"/>
    <xf numFmtId="0" fontId="11" fillId="0" borderId="0" xfId="0" applyFont="1" applyBorder="1" applyAlignment="1">
      <alignment vertical="top" wrapText="1"/>
    </xf>
    <xf numFmtId="0" fontId="5" fillId="0" borderId="0" xfId="0" applyFont="1" applyBorder="1" applyAlignment="1">
      <alignment vertical="top" wrapText="1"/>
    </xf>
    <xf numFmtId="0" fontId="5" fillId="0" borderId="0" xfId="0" applyFont="1"/>
    <xf numFmtId="166" fontId="33" fillId="0" borderId="0" xfId="0" applyNumberFormat="1" applyFont="1" applyBorder="1" applyAlignment="1">
      <alignment horizontal="right"/>
    </xf>
    <xf numFmtId="0" fontId="33" fillId="0" borderId="0" xfId="0" applyFont="1" applyBorder="1" applyAlignment="1">
      <alignment horizontal="left"/>
    </xf>
    <xf numFmtId="167" fontId="0" fillId="0" borderId="24" xfId="0" applyNumberFormat="1" applyFont="1" applyBorder="1" applyAlignment="1">
      <alignment horizontal="right"/>
    </xf>
    <xf numFmtId="167" fontId="2" fillId="0" borderId="24" xfId="0" applyNumberFormat="1" applyFont="1" applyBorder="1"/>
    <xf numFmtId="167" fontId="2" fillId="0" borderId="24" xfId="0" applyNumberFormat="1" applyFont="1" applyBorder="1" applyAlignment="1">
      <alignment horizontal="right"/>
    </xf>
    <xf numFmtId="5" fontId="2" fillId="0" borderId="24" xfId="0" applyNumberFormat="1" applyFont="1" applyFill="1" applyBorder="1"/>
    <xf numFmtId="167" fontId="23" fillId="0" borderId="24" xfId="0" applyNumberFormat="1" applyFont="1" applyFill="1" applyBorder="1" applyAlignment="1">
      <alignment horizontal="right"/>
    </xf>
    <xf numFmtId="167" fontId="33" fillId="0" borderId="24" xfId="0" applyNumberFormat="1" applyFont="1" applyBorder="1" applyAlignment="1">
      <alignment horizontal="right"/>
    </xf>
    <xf numFmtId="5" fontId="33" fillId="0" borderId="24" xfId="0" applyNumberFormat="1" applyFont="1" applyFill="1" applyBorder="1"/>
    <xf numFmtId="167" fontId="40" fillId="7" borderId="24" xfId="0" applyNumberFormat="1" applyFont="1" applyFill="1" applyBorder="1" applyAlignment="1">
      <alignment wrapText="1"/>
    </xf>
    <xf numFmtId="167" fontId="22" fillId="0" borderId="38" xfId="0" applyNumberFormat="1" applyFont="1" applyFill="1" applyBorder="1" applyAlignment="1">
      <alignment wrapText="1"/>
    </xf>
    <xf numFmtId="169" fontId="32" fillId="0" borderId="39" xfId="0" applyNumberFormat="1" applyFont="1" applyFill="1" applyBorder="1"/>
    <xf numFmtId="10" fontId="0" fillId="0" borderId="30" xfId="0" applyNumberFormat="1" applyFill="1" applyBorder="1"/>
    <xf numFmtId="10" fontId="0" fillId="0" borderId="0" xfId="0" applyNumberFormat="1" applyFill="1" applyBorder="1"/>
    <xf numFmtId="10" fontId="0" fillId="0" borderId="19" xfId="0" applyNumberFormat="1" applyFill="1" applyBorder="1"/>
    <xf numFmtId="0" fontId="0" fillId="0" borderId="0" xfId="4" quotePrefix="1" applyFont="1" applyAlignment="1">
      <alignment vertical="top" wrapText="1"/>
    </xf>
    <xf numFmtId="177" fontId="6" fillId="0" borderId="27" xfId="0" applyNumberFormat="1" applyFont="1" applyBorder="1"/>
    <xf numFmtId="171" fontId="0" fillId="0" borderId="0" xfId="2" applyNumberFormat="1" applyFont="1" applyFill="1" applyBorder="1" applyAlignment="1" applyProtection="1">
      <alignment horizontal="left" vertical="top" wrapText="1"/>
    </xf>
    <xf numFmtId="177" fontId="2" fillId="0" borderId="0" xfId="0" applyNumberFormat="1" applyFont="1"/>
    <xf numFmtId="177" fontId="5" fillId="0" borderId="0" xfId="0" applyNumberFormat="1" applyFont="1"/>
    <xf numFmtId="0" fontId="0" fillId="0" borderId="41" xfId="0" applyBorder="1" applyAlignment="1">
      <alignment horizontal="center"/>
    </xf>
    <xf numFmtId="177" fontId="5" fillId="8" borderId="0" xfId="0" applyNumberFormat="1" applyFont="1" applyFill="1"/>
    <xf numFmtId="0" fontId="12" fillId="0" borderId="0" xfId="0" applyFont="1" applyAlignment="1">
      <alignment horizontal="left"/>
    </xf>
    <xf numFmtId="17" fontId="2" fillId="0" borderId="16" xfId="0" applyNumberFormat="1" applyFont="1" applyBorder="1" applyAlignment="1">
      <alignment horizontal="right"/>
    </xf>
    <xf numFmtId="0" fontId="26" fillId="3" borderId="0" xfId="5" applyFill="1" applyBorder="1" applyAlignment="1" applyProtection="1">
      <alignment horizontal="right"/>
    </xf>
    <xf numFmtId="0" fontId="45" fillId="0" borderId="0" xfId="0" applyFont="1" applyAlignment="1">
      <alignment horizontal="center" vertical="center"/>
    </xf>
    <xf numFmtId="177" fontId="5" fillId="8" borderId="0" xfId="0" applyNumberFormat="1" applyFont="1" applyFill="1" applyAlignment="1"/>
    <xf numFmtId="0" fontId="7" fillId="2" borderId="24" xfId="0" applyFont="1" applyFill="1" applyBorder="1" applyAlignment="1">
      <alignment horizontal="left"/>
    </xf>
    <xf numFmtId="173" fontId="0" fillId="0" borderId="0" xfId="0" applyNumberFormat="1" applyBorder="1"/>
    <xf numFmtId="0" fontId="0" fillId="0" borderId="44" xfId="0" applyBorder="1"/>
    <xf numFmtId="0" fontId="2" fillId="0" borderId="45" xfId="0" applyFont="1" applyBorder="1"/>
    <xf numFmtId="173" fontId="2" fillId="0" borderId="45" xfId="0" applyNumberFormat="1" applyFont="1" applyBorder="1"/>
    <xf numFmtId="173" fontId="2" fillId="0" borderId="46" xfId="0" applyNumberFormat="1" applyFont="1" applyBorder="1" applyAlignment="1">
      <alignment wrapText="1"/>
    </xf>
    <xf numFmtId="173" fontId="7" fillId="2" borderId="47" xfId="0" applyNumberFormat="1" applyFont="1" applyFill="1" applyBorder="1" applyAlignment="1"/>
    <xf numFmtId="173" fontId="7" fillId="2" borderId="48" xfId="0" applyNumberFormat="1" applyFont="1" applyFill="1" applyBorder="1" applyAlignment="1"/>
    <xf numFmtId="0" fontId="0" fillId="0" borderId="22" xfId="0" applyBorder="1"/>
    <xf numFmtId="173" fontId="14" fillId="0" borderId="47" xfId="0" applyNumberFormat="1" applyFont="1" applyBorder="1"/>
    <xf numFmtId="173" fontId="12" fillId="0" borderId="47" xfId="0" applyNumberFormat="1" applyFont="1" applyBorder="1"/>
    <xf numFmtId="173" fontId="0" fillId="0" borderId="48" xfId="0" applyNumberFormat="1" applyFont="1" applyBorder="1"/>
    <xf numFmtId="173" fontId="0" fillId="0" borderId="47" xfId="0" applyNumberFormat="1" applyFont="1" applyFill="1" applyBorder="1" applyAlignment="1"/>
    <xf numFmtId="173" fontId="22" fillId="0" borderId="48" xfId="0" applyNumberFormat="1" applyFont="1" applyFill="1" applyBorder="1"/>
    <xf numFmtId="0" fontId="22" fillId="0" borderId="22" xfId="0" applyFont="1" applyFill="1" applyBorder="1" applyAlignment="1">
      <alignment horizontal="left" vertical="top"/>
    </xf>
    <xf numFmtId="173" fontId="22" fillId="0" borderId="47" xfId="0" applyNumberFormat="1" applyFont="1" applyFill="1" applyBorder="1"/>
    <xf numFmtId="173" fontId="7" fillId="2" borderId="49" xfId="0" applyNumberFormat="1" applyFont="1" applyFill="1" applyBorder="1" applyAlignment="1"/>
    <xf numFmtId="0" fontId="22" fillId="0" borderId="22" xfId="0" applyFont="1" applyFill="1" applyBorder="1"/>
    <xf numFmtId="0" fontId="22" fillId="0" borderId="22" xfId="0" applyFont="1" applyFill="1" applyBorder="1" applyAlignment="1">
      <alignment horizontal="right" wrapText="1"/>
    </xf>
    <xf numFmtId="0" fontId="22" fillId="0" borderId="22" xfId="0" applyFont="1" applyFill="1" applyBorder="1" applyAlignment="1">
      <alignment wrapText="1"/>
    </xf>
    <xf numFmtId="0" fontId="7" fillId="2" borderId="22" xfId="0" applyFont="1" applyFill="1" applyBorder="1" applyAlignment="1">
      <alignment horizontal="left"/>
    </xf>
    <xf numFmtId="0" fontId="22" fillId="0" borderId="22" xfId="0" applyFont="1" applyFill="1" applyBorder="1" applyAlignment="1">
      <alignment vertical="top"/>
    </xf>
    <xf numFmtId="0" fontId="0" fillId="0" borderId="22" xfId="0" applyFont="1" applyFill="1" applyBorder="1"/>
    <xf numFmtId="173" fontId="0" fillId="0" borderId="48" xfId="0" applyNumberFormat="1" applyFont="1" applyFill="1" applyBorder="1" applyAlignment="1"/>
    <xf numFmtId="173" fontId="23" fillId="0" borderId="47" xfId="0" applyNumberFormat="1" applyFont="1" applyFill="1" applyBorder="1"/>
    <xf numFmtId="173" fontId="23" fillId="0" borderId="48" xfId="0" applyNumberFormat="1" applyFont="1" applyFill="1" applyBorder="1"/>
    <xf numFmtId="0" fontId="0" fillId="0" borderId="22" xfId="0" quotePrefix="1" applyFill="1" applyBorder="1" applyAlignment="1">
      <alignment horizontal="right"/>
    </xf>
    <xf numFmtId="173" fontId="23" fillId="0" borderId="55" xfId="0" applyNumberFormat="1" applyFont="1" applyFill="1" applyBorder="1"/>
    <xf numFmtId="173" fontId="23" fillId="0" borderId="56" xfId="0" applyNumberFormat="1" applyFont="1" applyFill="1" applyBorder="1"/>
    <xf numFmtId="0" fontId="0" fillId="0" borderId="22" xfId="0" quotePrefix="1" applyBorder="1"/>
    <xf numFmtId="0" fontId="0" fillId="0" borderId="28" xfId="0" quotePrefix="1" applyBorder="1"/>
    <xf numFmtId="167" fontId="33" fillId="0" borderId="57" xfId="0" applyNumberFormat="1" applyFont="1" applyBorder="1" applyAlignment="1">
      <alignment horizontal="right"/>
    </xf>
    <xf numFmtId="173" fontId="0" fillId="0" borderId="58" xfId="0" applyNumberFormat="1" applyFont="1" applyBorder="1"/>
    <xf numFmtId="173" fontId="2" fillId="0" borderId="27" xfId="0" applyNumberFormat="1" applyFont="1" applyBorder="1" applyAlignment="1">
      <alignment horizontal="center"/>
    </xf>
    <xf numFmtId="174" fontId="46" fillId="0" borderId="0" xfId="2" applyNumberFormat="1" applyFont="1" applyFill="1" applyBorder="1" applyAlignment="1" applyProtection="1">
      <alignment horizontal="right"/>
    </xf>
    <xf numFmtId="9" fontId="0" fillId="0" borderId="24" xfId="0" applyNumberFormat="1" applyFont="1" applyFill="1" applyBorder="1"/>
    <xf numFmtId="167" fontId="23" fillId="0" borderId="23" xfId="0" applyNumberFormat="1" applyFont="1" applyFill="1" applyBorder="1"/>
    <xf numFmtId="173" fontId="2" fillId="0" borderId="47" xfId="0" applyNumberFormat="1" applyFont="1" applyFill="1" applyBorder="1" applyAlignment="1"/>
    <xf numFmtId="9" fontId="32" fillId="0" borderId="39" xfId="0" applyNumberFormat="1" applyFont="1" applyFill="1" applyBorder="1" applyAlignment="1">
      <alignment horizontal="left"/>
    </xf>
    <xf numFmtId="9" fontId="0" fillId="0" borderId="38" xfId="0" applyNumberFormat="1" applyFill="1" applyBorder="1"/>
    <xf numFmtId="173" fontId="0" fillId="0" borderId="49" xfId="0" applyNumberFormat="1" applyFont="1" applyFill="1" applyBorder="1" applyAlignment="1"/>
    <xf numFmtId="9" fontId="33" fillId="0" borderId="24" xfId="0" applyNumberFormat="1" applyFont="1" applyFill="1" applyBorder="1"/>
    <xf numFmtId="9" fontId="33" fillId="0" borderId="57" xfId="0" applyNumberFormat="1" applyFont="1" applyFill="1" applyBorder="1"/>
    <xf numFmtId="173" fontId="0" fillId="0" borderId="59" xfId="0" applyNumberFormat="1" applyFont="1" applyFill="1" applyBorder="1" applyAlignment="1"/>
    <xf numFmtId="9" fontId="22" fillId="0" borderId="24" xfId="0" applyNumberFormat="1" applyFont="1" applyFill="1" applyBorder="1"/>
    <xf numFmtId="0" fontId="24" fillId="0" borderId="61" xfId="0" applyFont="1" applyBorder="1"/>
    <xf numFmtId="0" fontId="41" fillId="0" borderId="0" xfId="0" applyFont="1"/>
    <xf numFmtId="0" fontId="41" fillId="0" borderId="0" xfId="0" applyFont="1" applyFill="1" applyBorder="1" applyAlignment="1">
      <alignment wrapText="1"/>
    </xf>
    <xf numFmtId="0" fontId="0" fillId="0" borderId="60" xfId="0" applyFont="1" applyBorder="1" applyAlignment="1">
      <alignment wrapText="1"/>
    </xf>
    <xf numFmtId="0" fontId="0" fillId="0" borderId="62" xfId="0" applyFont="1" applyBorder="1"/>
    <xf numFmtId="0" fontId="24" fillId="0" borderId="63" xfId="0" applyFont="1" applyBorder="1"/>
    <xf numFmtId="0" fontId="0" fillId="0" borderId="64" xfId="0" applyFont="1" applyBorder="1"/>
    <xf numFmtId="0" fontId="24" fillId="0" borderId="49" xfId="0" applyFont="1" applyBorder="1"/>
    <xf numFmtId="0" fontId="0" fillId="0" borderId="50" xfId="0" applyFont="1" applyBorder="1"/>
    <xf numFmtId="0" fontId="0" fillId="0" borderId="65" xfId="0" applyFont="1" applyBorder="1"/>
    <xf numFmtId="0" fontId="24" fillId="0" borderId="59" xfId="0" applyFont="1" applyBorder="1"/>
    <xf numFmtId="0" fontId="45" fillId="0" borderId="43" xfId="0" applyFont="1" applyBorder="1" applyAlignment="1">
      <alignment horizontal="center" vertical="center"/>
    </xf>
    <xf numFmtId="17" fontId="45" fillId="0" borderId="43" xfId="0" quotePrefix="1" applyNumberFormat="1" applyFont="1" applyBorder="1" applyAlignment="1">
      <alignment horizontal="center" vertical="center"/>
    </xf>
    <xf numFmtId="177" fontId="5" fillId="8" borderId="0" xfId="0" applyNumberFormat="1" applyFont="1" applyFill="1" applyAlignment="1">
      <alignment horizontal="center"/>
    </xf>
    <xf numFmtId="0" fontId="0" fillId="0" borderId="41" xfId="0" applyBorder="1" applyAlignment="1">
      <alignment horizontal="center"/>
    </xf>
    <xf numFmtId="0" fontId="0" fillId="0" borderId="42" xfId="0" applyBorder="1" applyAlignment="1">
      <alignment horizontal="center" vertical="center" wrapText="1"/>
    </xf>
    <xf numFmtId="0" fontId="0" fillId="0" borderId="36" xfId="0" applyBorder="1" applyAlignment="1">
      <alignment horizontal="center" vertical="center" wrapText="1"/>
    </xf>
    <xf numFmtId="167" fontId="23" fillId="0" borderId="51" xfId="0" applyNumberFormat="1" applyFont="1" applyFill="1" applyBorder="1" applyAlignment="1">
      <alignment horizontal="center" vertical="center"/>
    </xf>
    <xf numFmtId="167" fontId="23" fillId="0" borderId="36" xfId="0" applyNumberFormat="1" applyFont="1" applyFill="1" applyBorder="1" applyAlignment="1">
      <alignment horizontal="center" vertical="center"/>
    </xf>
    <xf numFmtId="173" fontId="22" fillId="0" borderId="52" xfId="0" applyNumberFormat="1" applyFont="1" applyFill="1" applyBorder="1" applyAlignment="1">
      <alignment horizontal="right" vertical="center"/>
    </xf>
    <xf numFmtId="173" fontId="22" fillId="0" borderId="37" xfId="0" applyNumberFormat="1" applyFont="1" applyFill="1" applyBorder="1" applyAlignment="1">
      <alignment horizontal="right" vertical="center"/>
    </xf>
    <xf numFmtId="173" fontId="0" fillId="0" borderId="52" xfId="0" applyNumberFormat="1" applyFont="1" applyFill="1" applyBorder="1" applyAlignment="1">
      <alignment horizontal="right" vertical="center"/>
    </xf>
    <xf numFmtId="173" fontId="0" fillId="0" borderId="37" xfId="0" applyNumberFormat="1" applyFont="1" applyFill="1" applyBorder="1" applyAlignment="1">
      <alignment horizontal="right" vertical="center"/>
    </xf>
    <xf numFmtId="173" fontId="22" fillId="0" borderId="53" xfId="0" applyNumberFormat="1" applyFont="1" applyFill="1" applyBorder="1" applyAlignment="1">
      <alignment horizontal="right" vertical="center"/>
    </xf>
    <xf numFmtId="173" fontId="22" fillId="0" borderId="54" xfId="0" applyNumberFormat="1" applyFont="1" applyFill="1" applyBorder="1" applyAlignment="1">
      <alignment horizontal="right" vertical="center"/>
    </xf>
    <xf numFmtId="0" fontId="22" fillId="0" borderId="50" xfId="0" applyFont="1" applyFill="1" applyBorder="1" applyAlignment="1">
      <alignment horizontal="left" vertical="top" wrapText="1"/>
    </xf>
    <xf numFmtId="0" fontId="22" fillId="0" borderId="40" xfId="0" applyFont="1" applyFill="1" applyBorder="1" applyAlignment="1">
      <alignment horizontal="left" vertical="top" wrapText="1"/>
    </xf>
    <xf numFmtId="173" fontId="2" fillId="0" borderId="52" xfId="0" applyNumberFormat="1" applyFont="1" applyFill="1" applyBorder="1" applyAlignment="1">
      <alignment horizontal="right" vertical="center"/>
    </xf>
    <xf numFmtId="173" fontId="2" fillId="0" borderId="37" xfId="0" applyNumberFormat="1" applyFont="1" applyFill="1" applyBorder="1" applyAlignment="1">
      <alignment horizontal="right" vertical="center"/>
    </xf>
    <xf numFmtId="173" fontId="22" fillId="0" borderId="51" xfId="0" applyNumberFormat="1" applyFont="1" applyFill="1" applyBorder="1" applyAlignment="1">
      <alignment horizontal="right" vertical="center"/>
    </xf>
    <xf numFmtId="173" fontId="22" fillId="0" borderId="36" xfId="0" applyNumberFormat="1" applyFont="1" applyFill="1" applyBorder="1" applyAlignment="1">
      <alignment horizontal="right" vertical="center"/>
    </xf>
    <xf numFmtId="0" fontId="7" fillId="2" borderId="22" xfId="0" applyFont="1" applyFill="1" applyBorder="1" applyAlignment="1">
      <alignment horizontal="left"/>
    </xf>
    <xf numFmtId="0" fontId="7" fillId="2" borderId="24" xfId="0" applyFont="1" applyFill="1" applyBorder="1" applyAlignment="1">
      <alignment horizontal="left"/>
    </xf>
    <xf numFmtId="0" fontId="22" fillId="0" borderId="50" xfId="0" quotePrefix="1" applyFont="1" applyFill="1" applyBorder="1" applyAlignment="1">
      <alignment horizontal="right" vertical="center" wrapText="1"/>
    </xf>
    <xf numFmtId="0" fontId="22" fillId="0" borderId="40" xfId="0" applyFont="1" applyFill="1" applyBorder="1" applyAlignment="1">
      <alignment horizontal="right" vertical="center" wrapText="1"/>
    </xf>
    <xf numFmtId="173" fontId="0" fillId="0" borderId="53" xfId="0" applyNumberFormat="1" applyFont="1" applyFill="1" applyBorder="1" applyAlignment="1">
      <alignment horizontal="right" vertical="center"/>
    </xf>
    <xf numFmtId="173" fontId="0" fillId="0" borderId="54" xfId="0" applyNumberFormat="1" applyFont="1" applyFill="1" applyBorder="1" applyAlignment="1">
      <alignment horizontal="right" vertical="center"/>
    </xf>
    <xf numFmtId="167" fontId="0" fillId="0" borderId="51" xfId="0" applyNumberFormat="1" applyFont="1" applyFill="1" applyBorder="1" applyAlignment="1">
      <alignment horizontal="right" vertical="center"/>
    </xf>
    <xf numFmtId="167" fontId="0" fillId="0" borderId="36" xfId="0" applyNumberFormat="1" applyFont="1" applyFill="1" applyBorder="1" applyAlignment="1">
      <alignment horizontal="right" vertical="center"/>
    </xf>
    <xf numFmtId="173" fontId="23" fillId="0" borderId="53" xfId="0" applyNumberFormat="1" applyFont="1" applyFill="1" applyBorder="1" applyAlignment="1">
      <alignment horizontal="right" vertical="center"/>
    </xf>
    <xf numFmtId="173" fontId="23" fillId="0" borderId="54" xfId="0" applyNumberFormat="1" applyFont="1" applyFill="1" applyBorder="1" applyAlignment="1">
      <alignment horizontal="right" vertical="center"/>
    </xf>
    <xf numFmtId="0" fontId="0" fillId="0" borderId="50" xfId="0" quotePrefix="1" applyFill="1" applyBorder="1" applyAlignment="1">
      <alignment horizontal="right" vertical="center" wrapText="1"/>
    </xf>
    <xf numFmtId="0" fontId="0" fillId="0" borderId="40" xfId="0" quotePrefix="1" applyFill="1" applyBorder="1" applyAlignment="1">
      <alignment horizontal="right" vertical="center"/>
    </xf>
    <xf numFmtId="0" fontId="39" fillId="0" borderId="2" xfId="0" applyFont="1" applyBorder="1" applyAlignment="1">
      <alignment horizontal="center"/>
    </xf>
    <xf numFmtId="0" fontId="39" fillId="0" borderId="5" xfId="0" applyFont="1" applyBorder="1" applyAlignment="1">
      <alignment horizontal="center"/>
    </xf>
    <xf numFmtId="171" fontId="0" fillId="0" borderId="0" xfId="2" applyNumberFormat="1" applyFont="1" applyFill="1" applyBorder="1" applyAlignment="1" applyProtection="1">
      <alignment horizontal="left" vertical="top" wrapText="1"/>
    </xf>
    <xf numFmtId="171" fontId="0" fillId="0" borderId="7" xfId="2" applyNumberFormat="1" applyFont="1" applyFill="1" applyBorder="1" applyAlignment="1" applyProtection="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horizontal="left" vertical="top" wrapText="1"/>
    </xf>
    <xf numFmtId="0" fontId="6" fillId="0" borderId="2" xfId="0" applyFont="1" applyBorder="1" applyAlignment="1">
      <alignment horizontal="center"/>
    </xf>
    <xf numFmtId="0" fontId="6" fillId="0" borderId="5" xfId="0" applyFont="1" applyBorder="1" applyAlignment="1">
      <alignment horizontal="center"/>
    </xf>
    <xf numFmtId="0" fontId="11" fillId="0" borderId="0" xfId="0" applyFont="1" applyBorder="1" applyAlignment="1">
      <alignment horizontal="left" vertical="top" wrapText="1"/>
    </xf>
    <xf numFmtId="0" fontId="0" fillId="0" borderId="0" xfId="0" applyBorder="1" applyAlignment="1">
      <alignment horizontal="left" vertical="top" wrapText="1"/>
    </xf>
    <xf numFmtId="0" fontId="14" fillId="0" borderId="7" xfId="0" applyFont="1" applyBorder="1" applyAlignment="1">
      <alignment horizontal="center"/>
    </xf>
    <xf numFmtId="0" fontId="14" fillId="0" borderId="0" xfId="0" applyFont="1" applyAlignment="1">
      <alignment horizontal="center"/>
    </xf>
    <xf numFmtId="0" fontId="0" fillId="0" borderId="1" xfId="0" applyFont="1" applyBorder="1" applyAlignment="1">
      <alignment horizontal="center"/>
    </xf>
    <xf numFmtId="0" fontId="0" fillId="0" borderId="16" xfId="0" applyFont="1" applyBorder="1" applyAlignment="1">
      <alignment horizontal="left"/>
    </xf>
    <xf numFmtId="0" fontId="2" fillId="0" borderId="1" xfId="0" applyFont="1" applyBorder="1" applyAlignment="1">
      <alignment horizontal="center"/>
    </xf>
    <xf numFmtId="0" fontId="2" fillId="0" borderId="12" xfId="0" applyFont="1" applyBorder="1" applyAlignment="1">
      <alignment horizontal="center"/>
    </xf>
    <xf numFmtId="0" fontId="0" fillId="0" borderId="1" xfId="0" applyFont="1" applyBorder="1" applyAlignment="1">
      <alignment horizontal="center" wrapText="1"/>
    </xf>
    <xf numFmtId="0" fontId="2" fillId="0" borderId="0" xfId="0" applyFont="1" applyBorder="1" applyAlignment="1">
      <alignment horizontal="center"/>
    </xf>
    <xf numFmtId="0" fontId="2" fillId="0" borderId="12" xfId="0" applyFont="1" applyBorder="1" applyAlignment="1">
      <alignment horizontal="center" wrapText="1"/>
    </xf>
    <xf numFmtId="0" fontId="11" fillId="0" borderId="0" xfId="0" applyFont="1" applyBorder="1" applyAlignment="1">
      <alignment vertical="top" wrapText="1"/>
    </xf>
    <xf numFmtId="166" fontId="11"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vertical="top" wrapText="1"/>
    </xf>
    <xf numFmtId="166" fontId="5" fillId="0" borderId="0" xfId="0" applyNumberFormat="1" applyFont="1" applyBorder="1" applyAlignment="1">
      <alignment horizontal="left" vertical="top" wrapText="1"/>
    </xf>
    <xf numFmtId="0" fontId="0" fillId="0" borderId="16" xfId="0" applyFont="1" applyBorder="1" applyAlignment="1">
      <alignment horizontal="center"/>
    </xf>
    <xf numFmtId="0" fontId="14" fillId="0" borderId="7" xfId="0" applyFont="1" applyBorder="1" applyAlignment="1">
      <alignment horizontal="left"/>
    </xf>
    <xf numFmtId="0" fontId="14" fillId="0" borderId="0" xfId="0" applyFont="1" applyAlignment="1">
      <alignment horizontal="left"/>
    </xf>
    <xf numFmtId="0" fontId="2" fillId="0" borderId="1" xfId="0" applyFont="1" applyBorder="1" applyAlignment="1">
      <alignment horizontal="center" wrapText="1"/>
    </xf>
    <xf numFmtId="0" fontId="2" fillId="0" borderId="18" xfId="0" applyFont="1" applyBorder="1" applyAlignment="1">
      <alignment horizontal="center" wrapText="1"/>
    </xf>
  </cellXfs>
  <cellStyles count="6">
    <cellStyle name="Euro" xfId="1"/>
    <cellStyle name="Euro 2" xfId="3"/>
    <cellStyle name="Lien hypertexte" xfId="5" builtinId="8"/>
    <cellStyle name="Normal" xfId="0" builtinId="0"/>
    <cellStyle name="Normal_Planning type" xfId="4"/>
    <cellStyle name="Pourcentage 2" xfId="2"/>
  </cellStyles>
  <dxfs count="6">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9"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rchesdarchitecture.be/" TargetMode="External"/><Relationship Id="rId1" Type="http://schemas.openxmlformats.org/officeDocument/2006/relationships/hyperlink" Target="http://www.cellule.archi/"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B7" sqref="B7"/>
    </sheetView>
  </sheetViews>
  <sheetFormatPr baseColWidth="10" defaultRowHeight="12.75" x14ac:dyDescent="0.2"/>
  <cols>
    <col min="1" max="1" width="3.7109375" style="111" customWidth="1"/>
    <col min="2" max="2" width="130.140625" customWidth="1"/>
  </cols>
  <sheetData>
    <row r="1" spans="1:11" ht="15" customHeight="1" x14ac:dyDescent="0.2"/>
    <row r="2" spans="1:11" s="128" customFormat="1" ht="15.75" x14ac:dyDescent="0.2">
      <c r="A2" s="168"/>
      <c r="B2" s="167" t="s">
        <v>118</v>
      </c>
      <c r="C2"/>
      <c r="D2"/>
      <c r="E2"/>
      <c r="F2"/>
      <c r="G2"/>
      <c r="H2"/>
      <c r="I2"/>
      <c r="J2"/>
      <c r="K2"/>
    </row>
    <row r="3" spans="1:11" s="128" customFormat="1" ht="15.75" x14ac:dyDescent="0.2">
      <c r="A3" s="168"/>
      <c r="B3" s="167"/>
      <c r="C3"/>
      <c r="D3"/>
      <c r="E3"/>
      <c r="F3"/>
      <c r="G3"/>
      <c r="H3"/>
      <c r="I3"/>
      <c r="J3"/>
      <c r="K3"/>
    </row>
    <row r="4" spans="1:11" s="128" customFormat="1" ht="25.5" x14ac:dyDescent="0.2">
      <c r="A4" s="168"/>
      <c r="B4" s="189" t="s">
        <v>142</v>
      </c>
      <c r="C4"/>
      <c r="D4"/>
      <c r="E4"/>
      <c r="F4"/>
      <c r="G4"/>
      <c r="H4"/>
      <c r="I4"/>
      <c r="J4"/>
      <c r="K4"/>
    </row>
    <row r="5" spans="1:11" s="128" customFormat="1" x14ac:dyDescent="0.2">
      <c r="A5" s="168"/>
      <c r="B5" s="189"/>
      <c r="C5"/>
      <c r="D5"/>
      <c r="E5"/>
      <c r="F5"/>
      <c r="G5"/>
      <c r="H5"/>
      <c r="I5"/>
      <c r="J5"/>
      <c r="K5"/>
    </row>
    <row r="6" spans="1:11" s="175" customFormat="1" ht="22.5" customHeight="1" x14ac:dyDescent="0.25">
      <c r="A6" s="174" t="s">
        <v>116</v>
      </c>
      <c r="B6" s="175" t="s">
        <v>234</v>
      </c>
    </row>
    <row r="7" spans="1:11" s="175" customFormat="1" ht="81.599999999999994" customHeight="1" x14ac:dyDescent="0.25">
      <c r="A7" s="174"/>
      <c r="B7" s="224" t="s">
        <v>246</v>
      </c>
    </row>
    <row r="8" spans="1:11" s="175" customFormat="1" ht="15" customHeight="1" x14ac:dyDescent="0.25">
      <c r="A8" s="174" t="s">
        <v>117</v>
      </c>
      <c r="B8" s="175" t="s">
        <v>125</v>
      </c>
    </row>
    <row r="9" spans="1:11" s="171" customFormat="1" ht="15" customHeight="1" x14ac:dyDescent="0.2">
      <c r="A9" s="130" t="s">
        <v>86</v>
      </c>
      <c r="B9" s="170" t="s">
        <v>120</v>
      </c>
    </row>
    <row r="10" spans="1:11" s="171" customFormat="1" ht="30" customHeight="1" x14ac:dyDescent="0.2">
      <c r="A10" s="176" t="s">
        <v>72</v>
      </c>
      <c r="B10" s="172" t="s">
        <v>119</v>
      </c>
    </row>
    <row r="11" spans="1:11" s="171" customFormat="1" ht="15" customHeight="1" x14ac:dyDescent="0.2">
      <c r="A11" s="176" t="s">
        <v>72</v>
      </c>
      <c r="B11" s="172" t="s">
        <v>85</v>
      </c>
    </row>
    <row r="12" spans="1:11" s="171" customFormat="1" ht="15" customHeight="1" x14ac:dyDescent="0.2">
      <c r="A12" s="130" t="s">
        <v>86</v>
      </c>
      <c r="B12" s="170" t="s">
        <v>121</v>
      </c>
    </row>
    <row r="13" spans="1:11" s="171" customFormat="1" ht="66" customHeight="1" x14ac:dyDescent="0.2">
      <c r="A13" s="130"/>
      <c r="B13" s="246" t="s">
        <v>122</v>
      </c>
    </row>
    <row r="14" spans="1:11" s="171" customFormat="1" ht="15" customHeight="1" x14ac:dyDescent="0.2">
      <c r="A14" s="130" t="s">
        <v>86</v>
      </c>
      <c r="B14" s="170" t="s">
        <v>141</v>
      </c>
    </row>
    <row r="15" spans="1:11" s="171" customFormat="1" ht="25.5" x14ac:dyDescent="0.2">
      <c r="A15" s="176" t="s">
        <v>72</v>
      </c>
      <c r="B15" s="172" t="s">
        <v>123</v>
      </c>
    </row>
    <row r="16" spans="1:11" s="171" customFormat="1" x14ac:dyDescent="0.2">
      <c r="A16" s="176" t="s">
        <v>72</v>
      </c>
      <c r="B16" s="172" t="s">
        <v>87</v>
      </c>
    </row>
    <row r="17" spans="1:2" s="171" customFormat="1" ht="45.6" customHeight="1" x14ac:dyDescent="0.2">
      <c r="A17" s="129"/>
      <c r="B17" s="173" t="s">
        <v>124</v>
      </c>
    </row>
    <row r="18" spans="1:2" s="171" customFormat="1" x14ac:dyDescent="0.2">
      <c r="A18" s="130" t="s">
        <v>86</v>
      </c>
      <c r="B18" s="170" t="s">
        <v>88</v>
      </c>
    </row>
    <row r="19" spans="1:2" s="171" customFormat="1" x14ac:dyDescent="0.2">
      <c r="A19" s="129" t="s">
        <v>84</v>
      </c>
      <c r="B19" s="172" t="s">
        <v>89</v>
      </c>
    </row>
    <row r="20" spans="1:2" s="171" customFormat="1" ht="15.75" customHeight="1" x14ac:dyDescent="0.2">
      <c r="A20" s="130" t="s">
        <v>86</v>
      </c>
      <c r="B20" s="170" t="s">
        <v>90</v>
      </c>
    </row>
    <row r="21" spans="1:2" s="171" customFormat="1" x14ac:dyDescent="0.2">
      <c r="A21" s="129" t="s">
        <v>84</v>
      </c>
      <c r="B21" s="172" t="s">
        <v>91</v>
      </c>
    </row>
    <row r="22" spans="1:2" s="171" customFormat="1" x14ac:dyDescent="0.2">
      <c r="A22" s="129"/>
      <c r="B22" s="172"/>
    </row>
    <row r="23" spans="1:2" s="175" customFormat="1" ht="22.5" customHeight="1" x14ac:dyDescent="0.25">
      <c r="A23" s="174" t="s">
        <v>126</v>
      </c>
      <c r="B23" s="175" t="s">
        <v>232</v>
      </c>
    </row>
    <row r="24" spans="1:2" s="171" customFormat="1" x14ac:dyDescent="0.2">
      <c r="A24" s="129"/>
      <c r="B24" s="172" t="s">
        <v>134</v>
      </c>
    </row>
    <row r="25" spans="1:2" s="171" customFormat="1" x14ac:dyDescent="0.2">
      <c r="A25" s="129"/>
      <c r="B25" s="172"/>
    </row>
    <row r="26" spans="1:2" s="175" customFormat="1" ht="22.5" customHeight="1" x14ac:dyDescent="0.25">
      <c r="A26" s="174" t="s">
        <v>132</v>
      </c>
      <c r="B26" s="175" t="s">
        <v>231</v>
      </c>
    </row>
    <row r="27" spans="1:2" s="171" customFormat="1" x14ac:dyDescent="0.2">
      <c r="A27" s="129"/>
      <c r="B27" s="172" t="s">
        <v>127</v>
      </c>
    </row>
    <row r="28" spans="1:2" s="171" customFormat="1" x14ac:dyDescent="0.2">
      <c r="A28" s="129"/>
      <c r="B28" s="172"/>
    </row>
    <row r="29" spans="1:2" s="171" customFormat="1" x14ac:dyDescent="0.2">
      <c r="A29" s="129"/>
      <c r="B29" s="177" t="s">
        <v>92</v>
      </c>
    </row>
    <row r="30" spans="1:2" s="171" customFormat="1" x14ac:dyDescent="0.2">
      <c r="A30" s="129"/>
      <c r="B30" s="178" t="s">
        <v>93</v>
      </c>
    </row>
    <row r="31" spans="1:2" s="171" customFormat="1" x14ac:dyDescent="0.2">
      <c r="A31" s="129"/>
      <c r="B31" s="255" t="s">
        <v>233</v>
      </c>
    </row>
    <row r="32" spans="1:2" s="171" customFormat="1" x14ac:dyDescent="0.2">
      <c r="A32" s="129"/>
      <c r="B32" s="179" t="s">
        <v>94</v>
      </c>
    </row>
    <row r="33" spans="1:1" s="171" customFormat="1" x14ac:dyDescent="0.2">
      <c r="A33" s="111"/>
    </row>
  </sheetData>
  <hyperlinks>
    <hyperlink ref="B31" r:id="rId1"/>
    <hyperlink ref="B32" r:id="rId2"/>
  </hyperlinks>
  <pageMargins left="0.70866141732283472" right="0.70866141732283472" top="0.74803149606299213" bottom="0.74803149606299213" header="0.31496062992125984" footer="0.31496062992125984"/>
  <pageSetup paperSize="9" scale="96" orientation="portrait" horizontalDpi="300" verticalDpi="300"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5"/>
  <sheetViews>
    <sheetView zoomScale="70" zoomScaleNormal="70" workbookViewId="0">
      <selection activeCell="A64" sqref="A64:G66"/>
    </sheetView>
  </sheetViews>
  <sheetFormatPr baseColWidth="10" defaultColWidth="27.5703125" defaultRowHeight="20.25" outlineLevelRow="1" x14ac:dyDescent="0.3"/>
  <cols>
    <col min="1" max="6" width="14.7109375" style="46" customWidth="1"/>
    <col min="7" max="7" width="22.42578125" style="46" customWidth="1"/>
    <col min="8" max="8" width="14.7109375" style="46" customWidth="1"/>
    <col min="9" max="9" width="20.7109375" style="46" customWidth="1"/>
    <col min="10" max="11" width="14.7109375" style="46" customWidth="1"/>
    <col min="12" max="16384" width="27.5703125" style="46"/>
  </cols>
  <sheetData>
    <row r="1" spans="1:13" s="1" customFormat="1" ht="12.75" x14ac:dyDescent="0.2">
      <c r="A1" s="363" t="s">
        <v>185</v>
      </c>
      <c r="B1" s="363"/>
      <c r="C1" s="363"/>
      <c r="D1" s="363"/>
      <c r="E1" s="363"/>
      <c r="F1" s="363"/>
      <c r="G1" s="363"/>
      <c r="H1" s="363"/>
      <c r="I1" s="363"/>
      <c r="J1" s="363"/>
    </row>
    <row r="2" spans="1:13" s="1" customFormat="1" ht="12.75" x14ac:dyDescent="0.2"/>
    <row r="3" spans="1:13" s="1" customFormat="1" ht="13.5" thickBot="1" x14ac:dyDescent="0.25">
      <c r="A3" s="1" t="str">
        <f>Détail!A2</f>
        <v>Intitulé du marché:</v>
      </c>
      <c r="C3" s="370" t="str">
        <f>Détail!B2</f>
        <v>VILLE_Projet de xxxxxxxxxxxxxxxxxxxxxxxxxxxxxxxxxxxxxx</v>
      </c>
      <c r="D3" s="370"/>
      <c r="E3" s="370"/>
    </row>
    <row r="4" spans="1:13" s="1" customFormat="1" ht="21" customHeight="1" thickBot="1" x14ac:dyDescent="0.25">
      <c r="A4" s="360" t="s">
        <v>0</v>
      </c>
      <c r="B4" s="360"/>
      <c r="C4" s="360"/>
      <c r="D4" s="360"/>
      <c r="E4" s="360"/>
      <c r="F4" s="360"/>
      <c r="G4" s="360"/>
      <c r="H4" s="360"/>
      <c r="I4" s="360"/>
      <c r="J4" s="373" t="s">
        <v>24</v>
      </c>
      <c r="K4" s="373"/>
      <c r="L4" s="356" t="s">
        <v>28</v>
      </c>
      <c r="M4" s="357"/>
    </row>
    <row r="5" spans="1:13" s="1" customFormat="1" ht="26.25" thickBot="1" x14ac:dyDescent="0.25">
      <c r="A5" s="358" t="s">
        <v>1</v>
      </c>
      <c r="B5" s="358"/>
      <c r="C5" s="69" t="s">
        <v>2</v>
      </c>
      <c r="D5" s="69" t="s">
        <v>3</v>
      </c>
      <c r="E5" s="69" t="s">
        <v>4</v>
      </c>
      <c r="F5" s="2" t="s">
        <v>5</v>
      </c>
      <c r="G5" s="69" t="s">
        <v>6</v>
      </c>
      <c r="H5" s="2" t="s">
        <v>7</v>
      </c>
      <c r="I5" s="69" t="s">
        <v>8</v>
      </c>
      <c r="J5" s="373"/>
      <c r="K5" s="373"/>
      <c r="L5" s="56"/>
      <c r="M5" s="56"/>
    </row>
    <row r="6" spans="1:13" s="1" customFormat="1" ht="12.75" customHeight="1" thickBot="1" x14ac:dyDescent="0.25">
      <c r="A6" s="362" t="s">
        <v>9</v>
      </c>
      <c r="B6" s="362"/>
      <c r="C6" s="3">
        <v>0.15</v>
      </c>
      <c r="D6" s="4">
        <v>0.13500000000000001</v>
      </c>
      <c r="E6" s="5">
        <v>0.12</v>
      </c>
      <c r="F6" s="4">
        <v>0.105</v>
      </c>
      <c r="G6" s="4">
        <v>0.09</v>
      </c>
      <c r="H6" s="5">
        <v>0.09</v>
      </c>
      <c r="I6" s="6"/>
      <c r="J6" s="37"/>
      <c r="K6" s="68" t="s">
        <v>10</v>
      </c>
      <c r="L6" s="56"/>
      <c r="M6" s="56"/>
    </row>
    <row r="7" spans="1:13" s="1" customFormat="1" ht="13.5" thickBot="1" x14ac:dyDescent="0.25">
      <c r="A7" s="7" t="s">
        <v>11</v>
      </c>
      <c r="B7" s="194">
        <f>Détail!C44</f>
        <v>2400000</v>
      </c>
      <c r="C7" s="8">
        <f>IF($B7&gt;$A$9,$A$9*$C$6,$B7*$C$6)</f>
        <v>24000</v>
      </c>
      <c r="D7" s="9">
        <f>IF($B7&gt;$A$10,($A$10-$A$9)*$D$6,IF($B7&gt;$A$9,($B7-$A$9)*$D$6,0))</f>
        <v>52650</v>
      </c>
      <c r="E7" s="9">
        <f>IF($B7&gt;$A$11,($A$11-$A$10)*$E$6,IF($B7&gt;$A$10,($B7-$A$10)*$E$6,0))</f>
        <v>102000</v>
      </c>
      <c r="F7" s="9">
        <f>IF($B7&gt;$A$12,($A$12-$A$11)*$F$6,IF($B7&gt;$A$11,($B7-$A$11)*$F$6,0))</f>
        <v>105000</v>
      </c>
      <c r="G7" s="9">
        <f>IF($B7&gt;$A$13,($A$13-$A$12)*$G$6,IF($B7&gt;$A$12,($B7-$A$12)*$G$6,0))</f>
        <v>0</v>
      </c>
      <c r="H7" s="9">
        <f>IF($B7&gt;$A$13,($B7-$A$13)*$H$6,0)</f>
        <v>0</v>
      </c>
      <c r="I7" s="10">
        <f>SUM(C7:H7)</f>
        <v>283650</v>
      </c>
      <c r="J7" s="38">
        <f>(B7*K7)/100</f>
        <v>283650</v>
      </c>
      <c r="K7" s="11">
        <f>(I7/B7)*100</f>
        <v>11.81875</v>
      </c>
      <c r="L7" s="57">
        <f>K7*L74/100</f>
        <v>0.11830087166868246</v>
      </c>
      <c r="M7" s="56"/>
    </row>
    <row r="8" spans="1:13" s="1" customFormat="1" ht="12.75" x14ac:dyDescent="0.2">
      <c r="B8" s="84" t="s">
        <v>241</v>
      </c>
      <c r="I8" s="62" t="s">
        <v>157</v>
      </c>
      <c r="J8" s="223">
        <v>0</v>
      </c>
      <c r="K8" s="12">
        <f>J8/B7*100</f>
        <v>0</v>
      </c>
      <c r="L8" s="57">
        <f>K8*L74/100</f>
        <v>0</v>
      </c>
      <c r="M8" s="56"/>
    </row>
    <row r="9" spans="1:13" hidden="1" outlineLevel="1" x14ac:dyDescent="0.3">
      <c r="A9" s="46">
        <v>160000</v>
      </c>
      <c r="C9" s="47"/>
      <c r="D9" s="47"/>
      <c r="E9" s="47"/>
      <c r="F9" s="47"/>
      <c r="L9" s="58"/>
      <c r="M9" s="58"/>
    </row>
    <row r="10" spans="1:13" hidden="1" outlineLevel="1" x14ac:dyDescent="0.3">
      <c r="A10" s="46">
        <v>550000</v>
      </c>
      <c r="L10" s="58"/>
      <c r="M10" s="58"/>
    </row>
    <row r="11" spans="1:13" hidden="1" outlineLevel="1" x14ac:dyDescent="0.3">
      <c r="A11" s="46">
        <v>1400000</v>
      </c>
      <c r="L11" s="58"/>
      <c r="M11" s="58"/>
    </row>
    <row r="12" spans="1:13" hidden="1" outlineLevel="1" x14ac:dyDescent="0.3">
      <c r="A12" s="46">
        <v>5500000</v>
      </c>
      <c r="L12" s="58"/>
      <c r="M12" s="58"/>
    </row>
    <row r="13" spans="1:13" hidden="1" outlineLevel="1" x14ac:dyDescent="0.3">
      <c r="A13" s="46">
        <v>16600000</v>
      </c>
      <c r="L13" s="58"/>
      <c r="M13" s="58"/>
    </row>
    <row r="14" spans="1:13" s="1" customFormat="1" ht="13.5" collapsed="1" thickBot="1" x14ac:dyDescent="0.25">
      <c r="A14" s="48"/>
      <c r="B14" s="48"/>
      <c r="C14" s="48"/>
      <c r="D14" s="48"/>
      <c r="L14" s="56"/>
      <c r="M14" s="56"/>
    </row>
    <row r="15" spans="1:13" s="1" customFormat="1" ht="45" customHeight="1" thickBot="1" x14ac:dyDescent="0.25">
      <c r="A15" s="360" t="s">
        <v>164</v>
      </c>
      <c r="B15" s="360"/>
      <c r="C15" s="360"/>
      <c r="D15" s="360"/>
      <c r="F15" s="360" t="s">
        <v>165</v>
      </c>
      <c r="G15" s="360"/>
      <c r="H15" s="360"/>
      <c r="I15" s="360"/>
      <c r="J15" s="374" t="s">
        <v>25</v>
      </c>
      <c r="K15" s="374"/>
      <c r="L15" s="56"/>
      <c r="M15" s="56"/>
    </row>
    <row r="16" spans="1:13" s="1" customFormat="1" ht="26.25" thickBot="1" x14ac:dyDescent="0.25">
      <c r="A16" s="41" t="s">
        <v>12</v>
      </c>
      <c r="B16" s="41" t="s">
        <v>15</v>
      </c>
      <c r="C16" s="41" t="s">
        <v>13</v>
      </c>
      <c r="D16" s="42" t="s">
        <v>14</v>
      </c>
      <c r="E16" s="43"/>
      <c r="F16" s="41" t="s">
        <v>12</v>
      </c>
      <c r="G16" s="42" t="s">
        <v>100</v>
      </c>
      <c r="H16" s="42" t="s">
        <v>13</v>
      </c>
      <c r="I16" s="42" t="s">
        <v>14</v>
      </c>
      <c r="J16" s="44" t="s">
        <v>23</v>
      </c>
      <c r="K16" s="45" t="s">
        <v>10</v>
      </c>
      <c r="L16" s="59" t="s">
        <v>29</v>
      </c>
      <c r="M16" s="59" t="s">
        <v>30</v>
      </c>
    </row>
    <row r="17" spans="1:13" s="1" customFormat="1" ht="13.5" thickBot="1" x14ac:dyDescent="0.25">
      <c r="A17" s="15">
        <f>B7</f>
        <v>2400000</v>
      </c>
      <c r="B17" s="16">
        <f>A17*20%</f>
        <v>480000</v>
      </c>
      <c r="C17" s="17">
        <f>VLOOKUP(B17,A20:B58,2,TRUE)</f>
        <v>13.12</v>
      </c>
      <c r="D17" s="18">
        <f>(B17*C17)/100</f>
        <v>62976</v>
      </c>
      <c r="F17" s="15">
        <f>B7</f>
        <v>2400000</v>
      </c>
      <c r="G17" s="18">
        <f>F17*25%</f>
        <v>600000</v>
      </c>
      <c r="H17" s="19">
        <f>VLOOKUP(G17,F20:G58,2,TRUE)</f>
        <v>11.76</v>
      </c>
      <c r="I17" s="18">
        <f>(G17*H17)/100</f>
        <v>70560</v>
      </c>
      <c r="J17" s="20">
        <f>I17+D17</f>
        <v>133536</v>
      </c>
      <c r="K17" s="39">
        <f>(J17/B7)*100</f>
        <v>5.5640000000000001</v>
      </c>
      <c r="L17" s="57">
        <f>C18*L74</f>
        <v>2.6265170788672472E-2</v>
      </c>
      <c r="M17" s="57">
        <f>H18*L74</f>
        <v>2.942820202694248E-2</v>
      </c>
    </row>
    <row r="18" spans="1:13" s="1" customFormat="1" ht="12.75" x14ac:dyDescent="0.2">
      <c r="A18" s="49"/>
      <c r="B18" s="52" t="s">
        <v>27</v>
      </c>
      <c r="C18" s="53">
        <f>D17/B7</f>
        <v>2.6239999999999999E-2</v>
      </c>
      <c r="D18" s="50"/>
      <c r="F18" s="49"/>
      <c r="G18" s="52" t="s">
        <v>27</v>
      </c>
      <c r="H18" s="53">
        <f>I17/B7</f>
        <v>2.9399999999999999E-2</v>
      </c>
      <c r="I18" s="50"/>
      <c r="J18" s="51"/>
      <c r="K18" s="30"/>
      <c r="L18" s="56"/>
      <c r="M18" s="56"/>
    </row>
    <row r="19" spans="1:13" s="1" customFormat="1" ht="15" customHeight="1" x14ac:dyDescent="0.2">
      <c r="L19" s="56"/>
      <c r="M19" s="56"/>
    </row>
    <row r="20" spans="1:13" s="1" customFormat="1" ht="13.5" hidden="1" outlineLevel="1" thickBot="1" x14ac:dyDescent="0.25">
      <c r="A20" s="21" t="s">
        <v>16</v>
      </c>
      <c r="B20" s="22" t="s">
        <v>22</v>
      </c>
      <c r="F20" s="21" t="s">
        <v>16</v>
      </c>
      <c r="G20" s="22" t="s">
        <v>17</v>
      </c>
      <c r="L20" s="56"/>
      <c r="M20" s="56"/>
    </row>
    <row r="21" spans="1:13" s="1" customFormat="1" ht="13.5" hidden="1" outlineLevel="1" thickBot="1" x14ac:dyDescent="0.25">
      <c r="A21" s="54">
        <v>0</v>
      </c>
      <c r="B21" s="14">
        <v>16.21</v>
      </c>
      <c r="F21" s="55">
        <v>0</v>
      </c>
      <c r="G21" s="14">
        <v>15.13</v>
      </c>
      <c r="L21" s="56"/>
      <c r="M21" s="56"/>
    </row>
    <row r="22" spans="1:13" s="1" customFormat="1" ht="12.75" hidden="1" outlineLevel="1" x14ac:dyDescent="0.2">
      <c r="A22" s="23">
        <v>100000</v>
      </c>
      <c r="B22" s="14">
        <v>16.21</v>
      </c>
      <c r="F22" s="24">
        <v>100000</v>
      </c>
      <c r="G22" s="14">
        <v>15.13</v>
      </c>
      <c r="L22" s="56"/>
      <c r="M22" s="56"/>
    </row>
    <row r="23" spans="1:13" s="1" customFormat="1" ht="12.75" hidden="1" outlineLevel="1" x14ac:dyDescent="0.2">
      <c r="A23" s="24">
        <v>125000</v>
      </c>
      <c r="B23" s="14">
        <v>15.71</v>
      </c>
      <c r="F23" s="24">
        <v>125000</v>
      </c>
      <c r="G23" s="14">
        <v>14.66</v>
      </c>
      <c r="L23" s="56"/>
      <c r="M23" s="56"/>
    </row>
    <row r="24" spans="1:13" s="1" customFormat="1" ht="12.75" hidden="1" outlineLevel="1" x14ac:dyDescent="0.2">
      <c r="A24" s="24">
        <v>150000</v>
      </c>
      <c r="B24" s="14">
        <v>15.31</v>
      </c>
      <c r="F24" s="24">
        <v>150000</v>
      </c>
      <c r="G24" s="14">
        <v>14.29</v>
      </c>
      <c r="L24" s="56"/>
      <c r="M24" s="56"/>
    </row>
    <row r="25" spans="1:13" s="1" customFormat="1" ht="12.75" hidden="1" outlineLevel="1" x14ac:dyDescent="0.2">
      <c r="A25" s="24">
        <v>175000</v>
      </c>
      <c r="B25" s="14">
        <v>14.98</v>
      </c>
      <c r="F25" s="24">
        <v>175000</v>
      </c>
      <c r="G25" s="14">
        <v>13.98</v>
      </c>
      <c r="L25" s="56"/>
      <c r="M25" s="56"/>
    </row>
    <row r="26" spans="1:13" s="1" customFormat="1" ht="12.75" hidden="1" outlineLevel="1" x14ac:dyDescent="0.2">
      <c r="A26" s="24">
        <v>200000</v>
      </c>
      <c r="B26" s="14">
        <v>14.7</v>
      </c>
      <c r="F26" s="24">
        <v>200000</v>
      </c>
      <c r="G26" s="14">
        <v>13.72</v>
      </c>
      <c r="L26" s="56"/>
      <c r="M26" s="56"/>
    </row>
    <row r="27" spans="1:13" s="1" customFormat="1" ht="12.75" hidden="1" outlineLevel="1" x14ac:dyDescent="0.2">
      <c r="A27" s="24">
        <v>225000</v>
      </c>
      <c r="B27" s="14">
        <v>14.46</v>
      </c>
      <c r="F27" s="24">
        <v>225000</v>
      </c>
      <c r="G27" s="14">
        <v>13.5</v>
      </c>
      <c r="L27" s="56"/>
      <c r="M27" s="56"/>
    </row>
    <row r="28" spans="1:13" s="1" customFormat="1" ht="12.75" hidden="1" outlineLevel="1" x14ac:dyDescent="0.2">
      <c r="A28" s="24">
        <v>250000</v>
      </c>
      <c r="B28" s="14">
        <v>14.25</v>
      </c>
      <c r="F28" s="24">
        <v>250000</v>
      </c>
      <c r="G28" s="14">
        <v>13.3</v>
      </c>
      <c r="L28" s="56"/>
      <c r="M28" s="56"/>
    </row>
    <row r="29" spans="1:13" s="1" customFormat="1" ht="12.75" hidden="1" outlineLevel="1" x14ac:dyDescent="0.2">
      <c r="A29" s="24">
        <v>300000</v>
      </c>
      <c r="B29" s="14">
        <v>13.89</v>
      </c>
      <c r="F29" s="24">
        <v>300000</v>
      </c>
      <c r="G29" s="14">
        <v>12.96</v>
      </c>
      <c r="L29" s="56"/>
      <c r="M29" s="56"/>
    </row>
    <row r="30" spans="1:13" s="1" customFormat="1" ht="12.75" hidden="1" outlineLevel="1" x14ac:dyDescent="0.2">
      <c r="A30" s="24">
        <v>350000</v>
      </c>
      <c r="B30" s="14">
        <v>13.59</v>
      </c>
      <c r="F30" s="24">
        <v>350000</v>
      </c>
      <c r="G30" s="14">
        <v>12.68</v>
      </c>
      <c r="L30" s="56"/>
      <c r="M30" s="56"/>
    </row>
    <row r="31" spans="1:13" s="1" customFormat="1" ht="12.75" hidden="1" outlineLevel="1" x14ac:dyDescent="0.2">
      <c r="A31" s="24">
        <v>400000</v>
      </c>
      <c r="B31" s="14">
        <v>13.34</v>
      </c>
      <c r="F31" s="24">
        <v>400000</v>
      </c>
      <c r="G31" s="14">
        <v>12.45</v>
      </c>
      <c r="L31" s="56"/>
      <c r="M31" s="56"/>
    </row>
    <row r="32" spans="1:13" s="1" customFormat="1" ht="12.75" hidden="1" outlineLevel="1" x14ac:dyDescent="0.2">
      <c r="A32" s="24">
        <v>450000</v>
      </c>
      <c r="B32" s="14">
        <v>13.12</v>
      </c>
      <c r="F32" s="24">
        <v>450000</v>
      </c>
      <c r="G32" s="14">
        <v>12.24</v>
      </c>
      <c r="L32" s="56"/>
      <c r="M32" s="56"/>
    </row>
    <row r="33" spans="1:13" s="1" customFormat="1" ht="12.75" hidden="1" outlineLevel="1" x14ac:dyDescent="0.2">
      <c r="A33" s="24">
        <v>500000</v>
      </c>
      <c r="B33" s="14">
        <v>12.92</v>
      </c>
      <c r="F33" s="24">
        <v>500000</v>
      </c>
      <c r="G33" s="14">
        <v>12.06</v>
      </c>
      <c r="L33" s="56"/>
      <c r="M33" s="56"/>
    </row>
    <row r="34" spans="1:13" s="1" customFormat="1" ht="12.75" hidden="1" outlineLevel="1" x14ac:dyDescent="0.2">
      <c r="A34" s="24">
        <v>600000</v>
      </c>
      <c r="B34" s="14">
        <v>12.6</v>
      </c>
      <c r="F34" s="24">
        <v>600000</v>
      </c>
      <c r="G34" s="14">
        <v>11.76</v>
      </c>
      <c r="L34" s="56"/>
      <c r="M34" s="56"/>
    </row>
    <row r="35" spans="1:13" s="1" customFormat="1" ht="12.75" hidden="1" outlineLevel="1" x14ac:dyDescent="0.2">
      <c r="A35" s="24">
        <v>700000</v>
      </c>
      <c r="B35" s="14">
        <v>12.33</v>
      </c>
      <c r="F35" s="24">
        <v>700000</v>
      </c>
      <c r="G35" s="14">
        <v>11.51</v>
      </c>
      <c r="L35" s="56"/>
      <c r="M35" s="56"/>
    </row>
    <row r="36" spans="1:13" s="1" customFormat="1" ht="12.75" hidden="1" outlineLevel="1" x14ac:dyDescent="0.2">
      <c r="A36" s="24">
        <v>800000</v>
      </c>
      <c r="B36" s="14">
        <v>12.1</v>
      </c>
      <c r="F36" s="24">
        <v>800000</v>
      </c>
      <c r="G36" s="14">
        <v>11.29</v>
      </c>
      <c r="L36" s="56"/>
      <c r="M36" s="56"/>
    </row>
    <row r="37" spans="1:13" s="1" customFormat="1" ht="12.75" hidden="1" outlineLevel="1" x14ac:dyDescent="0.2">
      <c r="A37" s="24">
        <v>900000</v>
      </c>
      <c r="B37" s="14">
        <v>11.9</v>
      </c>
      <c r="F37" s="24">
        <v>900000</v>
      </c>
      <c r="G37" s="14">
        <v>11.11</v>
      </c>
      <c r="L37" s="56"/>
      <c r="M37" s="56"/>
    </row>
    <row r="38" spans="1:13" s="1" customFormat="1" ht="12.75" hidden="1" outlineLevel="1" x14ac:dyDescent="0.2">
      <c r="A38" s="24">
        <v>1000000</v>
      </c>
      <c r="B38" s="14">
        <v>11.72</v>
      </c>
      <c r="F38" s="24">
        <v>1000000</v>
      </c>
      <c r="G38" s="14">
        <v>10.94</v>
      </c>
      <c r="L38" s="56"/>
      <c r="M38" s="56"/>
    </row>
    <row r="39" spans="1:13" s="1" customFormat="1" ht="12.75" hidden="1" outlineLevel="1" x14ac:dyDescent="0.2">
      <c r="A39" s="24">
        <v>1250000</v>
      </c>
      <c r="B39" s="14">
        <v>11.36</v>
      </c>
      <c r="F39" s="24">
        <v>1250000</v>
      </c>
      <c r="G39" s="14">
        <v>10.6</v>
      </c>
      <c r="L39" s="56"/>
      <c r="M39" s="56"/>
    </row>
    <row r="40" spans="1:13" s="1" customFormat="1" ht="12.75" hidden="1" outlineLevel="1" x14ac:dyDescent="0.2">
      <c r="A40" s="24">
        <v>1500000</v>
      </c>
      <c r="B40" s="14">
        <v>11.07</v>
      </c>
      <c r="F40" s="24">
        <v>1500000</v>
      </c>
      <c r="G40" s="14">
        <v>10.34</v>
      </c>
      <c r="L40" s="56"/>
      <c r="M40" s="56"/>
    </row>
    <row r="41" spans="1:13" s="1" customFormat="1" ht="12.75" hidden="1" outlineLevel="1" x14ac:dyDescent="0.2">
      <c r="A41" s="24">
        <v>1750000</v>
      </c>
      <c r="B41" s="14">
        <v>10.84</v>
      </c>
      <c r="F41" s="24">
        <v>1750000</v>
      </c>
      <c r="G41" s="14">
        <v>10.11</v>
      </c>
      <c r="L41" s="56"/>
      <c r="M41" s="56"/>
    </row>
    <row r="42" spans="1:13" s="1" customFormat="1" ht="12.75" hidden="1" outlineLevel="1" x14ac:dyDescent="0.2">
      <c r="A42" s="24">
        <v>2000000</v>
      </c>
      <c r="B42" s="14">
        <v>10.63</v>
      </c>
      <c r="F42" s="24">
        <v>2000000</v>
      </c>
      <c r="G42" s="14">
        <v>9.93</v>
      </c>
      <c r="L42" s="56"/>
      <c r="M42" s="56"/>
    </row>
    <row r="43" spans="1:13" s="1" customFormat="1" ht="12.75" hidden="1" outlineLevel="1" x14ac:dyDescent="0.2">
      <c r="A43" s="24">
        <v>2250000</v>
      </c>
      <c r="B43" s="14">
        <v>10.46</v>
      </c>
      <c r="F43" s="24">
        <v>2250000</v>
      </c>
      <c r="G43" s="14">
        <v>9.76</v>
      </c>
      <c r="L43" s="56"/>
      <c r="M43" s="56"/>
    </row>
    <row r="44" spans="1:13" s="1" customFormat="1" ht="12.75" hidden="1" outlineLevel="1" x14ac:dyDescent="0.2">
      <c r="A44" s="24">
        <v>2500000</v>
      </c>
      <c r="B44" s="14">
        <v>10.31</v>
      </c>
      <c r="F44" s="24">
        <v>2500000</v>
      </c>
      <c r="G44" s="14">
        <v>9.6199999999999992</v>
      </c>
      <c r="L44" s="56"/>
      <c r="M44" s="56"/>
    </row>
    <row r="45" spans="1:13" s="1" customFormat="1" ht="12.75" hidden="1" outlineLevel="1" x14ac:dyDescent="0.2">
      <c r="A45" s="24">
        <v>3000000</v>
      </c>
      <c r="B45" s="14">
        <v>10.039999999999999</v>
      </c>
      <c r="F45" s="24">
        <v>3000000</v>
      </c>
      <c r="G45" s="14">
        <v>9.3800000000000008</v>
      </c>
      <c r="L45" s="56"/>
      <c r="M45" s="56"/>
    </row>
    <row r="46" spans="1:13" s="1" customFormat="1" ht="12.75" hidden="1" outlineLevel="1" x14ac:dyDescent="0.2">
      <c r="A46" s="24">
        <v>3500000</v>
      </c>
      <c r="B46" s="14">
        <v>9.83</v>
      </c>
      <c r="F46" s="24">
        <v>3500000</v>
      </c>
      <c r="G46" s="14">
        <v>9.18</v>
      </c>
      <c r="L46" s="56"/>
      <c r="M46" s="56"/>
    </row>
    <row r="47" spans="1:13" s="1" customFormat="1" ht="12.75" hidden="1" outlineLevel="1" x14ac:dyDescent="0.2">
      <c r="A47" s="24">
        <v>4000000</v>
      </c>
      <c r="B47" s="14">
        <v>9.65</v>
      </c>
      <c r="F47" s="24">
        <v>4000000</v>
      </c>
      <c r="G47" s="14">
        <v>9</v>
      </c>
      <c r="L47" s="56"/>
      <c r="M47" s="56"/>
    </row>
    <row r="48" spans="1:13" s="1" customFormat="1" ht="12.75" hidden="1" outlineLevel="1" x14ac:dyDescent="0.2">
      <c r="A48" s="24">
        <v>5000000</v>
      </c>
      <c r="B48" s="14">
        <v>9.35</v>
      </c>
      <c r="F48" s="24">
        <v>5000000</v>
      </c>
      <c r="G48" s="14">
        <v>8.73</v>
      </c>
      <c r="L48" s="56"/>
      <c r="M48" s="56"/>
    </row>
    <row r="49" spans="1:13" s="1" customFormat="1" ht="12.75" hidden="1" outlineLevel="1" x14ac:dyDescent="0.2">
      <c r="A49" s="24">
        <v>6000000</v>
      </c>
      <c r="B49" s="14">
        <v>9.11</v>
      </c>
      <c r="F49" s="24">
        <v>6000000</v>
      </c>
      <c r="G49" s="14">
        <v>8.51</v>
      </c>
      <c r="L49" s="56"/>
      <c r="M49" s="56"/>
    </row>
    <row r="50" spans="1:13" s="1" customFormat="1" ht="12.75" hidden="1" outlineLevel="1" x14ac:dyDescent="0.2">
      <c r="A50" s="24">
        <v>7000000</v>
      </c>
      <c r="B50" s="14">
        <v>8.92</v>
      </c>
      <c r="F50" s="24">
        <v>7000000</v>
      </c>
      <c r="G50" s="14">
        <v>8.32</v>
      </c>
      <c r="L50" s="56"/>
      <c r="M50" s="56"/>
    </row>
    <row r="51" spans="1:13" s="1" customFormat="1" ht="12.75" hidden="1" outlineLevel="1" x14ac:dyDescent="0.2">
      <c r="A51" s="24">
        <v>8000000</v>
      </c>
      <c r="B51" s="14">
        <v>8.75</v>
      </c>
      <c r="F51" s="24">
        <v>8000000</v>
      </c>
      <c r="G51" s="14">
        <v>8.17</v>
      </c>
      <c r="L51" s="56"/>
      <c r="M51" s="56"/>
    </row>
    <row r="52" spans="1:13" s="1" customFormat="1" ht="12.75" hidden="1" outlineLevel="1" x14ac:dyDescent="0.2">
      <c r="A52" s="24">
        <v>9000000</v>
      </c>
      <c r="B52" s="14">
        <v>8.61</v>
      </c>
      <c r="F52" s="24">
        <v>9000000</v>
      </c>
      <c r="G52" s="14">
        <v>8.0299999999999994</v>
      </c>
      <c r="L52" s="56"/>
      <c r="M52" s="56"/>
    </row>
    <row r="53" spans="1:13" s="1" customFormat="1" ht="12.75" hidden="1" outlineLevel="1" x14ac:dyDescent="0.2">
      <c r="A53" s="24">
        <v>10000000</v>
      </c>
      <c r="B53" s="14">
        <v>8.48</v>
      </c>
      <c r="F53" s="24">
        <v>10000000</v>
      </c>
      <c r="G53" s="14">
        <v>7.92</v>
      </c>
      <c r="L53" s="56"/>
      <c r="M53" s="56"/>
    </row>
    <row r="54" spans="1:13" s="1" customFormat="1" ht="12.75" hidden="1" outlineLevel="1" x14ac:dyDescent="0.2">
      <c r="A54" s="24">
        <v>11000000</v>
      </c>
      <c r="B54" s="14">
        <v>8.3699999999999992</v>
      </c>
      <c r="F54" s="24">
        <v>11000000</v>
      </c>
      <c r="G54" s="14">
        <v>7.81</v>
      </c>
      <c r="L54" s="56"/>
      <c r="M54" s="56"/>
    </row>
    <row r="55" spans="1:13" s="1" customFormat="1" ht="12.75" hidden="1" outlineLevel="1" x14ac:dyDescent="0.2">
      <c r="A55" s="24">
        <v>12000000</v>
      </c>
      <c r="B55" s="14">
        <v>8.26</v>
      </c>
      <c r="F55" s="24">
        <v>12000000</v>
      </c>
      <c r="G55" s="14">
        <v>7.72</v>
      </c>
      <c r="L55" s="56"/>
      <c r="M55" s="56"/>
    </row>
    <row r="56" spans="1:13" s="1" customFormat="1" ht="12.75" hidden="1" outlineLevel="1" x14ac:dyDescent="0.2">
      <c r="A56" s="24">
        <v>13000000</v>
      </c>
      <c r="B56" s="14">
        <v>8.17</v>
      </c>
      <c r="F56" s="24">
        <v>13000000</v>
      </c>
      <c r="G56" s="14">
        <v>7.63</v>
      </c>
      <c r="L56" s="56"/>
      <c r="M56" s="56"/>
    </row>
    <row r="57" spans="1:13" s="1" customFormat="1" ht="12.75" hidden="1" outlineLevel="1" x14ac:dyDescent="0.2">
      <c r="A57" s="24">
        <v>14000000</v>
      </c>
      <c r="B57" s="14">
        <v>8.09</v>
      </c>
      <c r="F57" s="24">
        <v>14000000</v>
      </c>
      <c r="G57" s="14">
        <v>7.55</v>
      </c>
      <c r="L57" s="56"/>
      <c r="M57" s="56"/>
    </row>
    <row r="58" spans="1:13" s="1" customFormat="1" ht="13.5" hidden="1" outlineLevel="1" thickBot="1" x14ac:dyDescent="0.25">
      <c r="A58" s="16">
        <v>15000000</v>
      </c>
      <c r="B58" s="25">
        <v>8.01</v>
      </c>
      <c r="F58" s="16">
        <v>15000000</v>
      </c>
      <c r="G58" s="25">
        <v>7.48</v>
      </c>
      <c r="L58" s="56"/>
      <c r="M58" s="56"/>
    </row>
    <row r="59" spans="1:13" s="1" customFormat="1" ht="49.15" customHeight="1" collapsed="1" x14ac:dyDescent="0.2">
      <c r="A59" s="369" t="s">
        <v>159</v>
      </c>
      <c r="B59" s="366"/>
      <c r="C59" s="366"/>
      <c r="D59" s="366"/>
      <c r="E59" s="366"/>
      <c r="F59" s="366"/>
      <c r="G59" s="366"/>
      <c r="L59" s="56"/>
      <c r="M59" s="56"/>
    </row>
    <row r="60" spans="1:13" s="1" customFormat="1" ht="13.5" thickBot="1" x14ac:dyDescent="0.25">
      <c r="A60" s="50"/>
      <c r="B60" s="84"/>
      <c r="F60" s="50"/>
      <c r="G60" s="84"/>
      <c r="L60" s="56"/>
      <c r="M60" s="56"/>
    </row>
    <row r="61" spans="1:13" s="1" customFormat="1" ht="12.75" customHeight="1" thickBot="1" x14ac:dyDescent="0.25">
      <c r="A61" s="367" t="s">
        <v>161</v>
      </c>
      <c r="B61" s="354"/>
      <c r="C61" s="354"/>
      <c r="D61" s="354"/>
      <c r="E61" s="354"/>
      <c r="F61" s="354"/>
      <c r="G61" s="354"/>
      <c r="I61" s="26" t="s">
        <v>18</v>
      </c>
      <c r="J61" s="27">
        <f>J7+J17</f>
        <v>417186</v>
      </c>
      <c r="K61" s="28">
        <f>K7+K8+K17</f>
        <v>17.382750000000001</v>
      </c>
      <c r="L61" s="56"/>
      <c r="M61" s="56"/>
    </row>
    <row r="62" spans="1:13" s="1" customFormat="1" ht="25.5" customHeight="1" x14ac:dyDescent="0.2">
      <c r="A62" s="354"/>
      <c r="B62" s="354"/>
      <c r="C62" s="354"/>
      <c r="D62" s="354"/>
      <c r="E62" s="354"/>
      <c r="F62" s="354"/>
      <c r="G62" s="354"/>
      <c r="I62" s="1" t="s">
        <v>152</v>
      </c>
      <c r="J62" s="1" t="s">
        <v>32</v>
      </c>
      <c r="K62" s="1" t="s">
        <v>32</v>
      </c>
      <c r="M62" s="56"/>
    </row>
    <row r="63" spans="1:13" s="1" customFormat="1" ht="12.75" x14ac:dyDescent="0.2">
      <c r="A63" s="66"/>
      <c r="B63" s="66"/>
      <c r="C63" s="66"/>
      <c r="D63" s="66"/>
      <c r="E63" s="66"/>
      <c r="F63" s="31"/>
      <c r="G63" s="31"/>
      <c r="I63" t="s">
        <v>31</v>
      </c>
      <c r="J63" t="s">
        <v>32</v>
      </c>
      <c r="K63" t="s">
        <v>32</v>
      </c>
      <c r="L63" s="56"/>
      <c r="M63" s="56"/>
    </row>
    <row r="64" spans="1:13" s="1" customFormat="1" ht="24" customHeight="1" x14ac:dyDescent="0.2">
      <c r="A64" s="367" t="s">
        <v>163</v>
      </c>
      <c r="B64" s="355"/>
      <c r="C64" s="355"/>
      <c r="D64" s="355"/>
      <c r="E64" s="355"/>
      <c r="F64" s="355"/>
      <c r="G64" s="355"/>
      <c r="I64" t="s">
        <v>19</v>
      </c>
      <c r="J64" s="29">
        <f>B7*K64%</f>
        <v>7200</v>
      </c>
      <c r="K64" s="12">
        <v>0.3</v>
      </c>
      <c r="L64" s="57">
        <f>K64*L74/100</f>
        <v>3.0028777578512732E-3</v>
      </c>
      <c r="M64" s="56"/>
    </row>
    <row r="65" spans="1:13" s="1" customFormat="1" ht="12" customHeight="1" x14ac:dyDescent="0.2">
      <c r="A65" s="355"/>
      <c r="B65" s="355"/>
      <c r="C65" s="355"/>
      <c r="D65" s="355"/>
      <c r="E65" s="355"/>
      <c r="F65" s="355"/>
      <c r="G65" s="355"/>
      <c r="I65" s="1" t="s">
        <v>166</v>
      </c>
      <c r="J65" s="29">
        <f>B7*K65%</f>
        <v>7200</v>
      </c>
      <c r="K65" s="30">
        <v>0.3</v>
      </c>
      <c r="L65" s="57">
        <f>K65*L74/100</f>
        <v>3.0028777578512732E-3</v>
      </c>
      <c r="M65" s="56"/>
    </row>
    <row r="66" spans="1:13" s="1" customFormat="1" ht="16.149999999999999" customHeight="1" x14ac:dyDescent="0.2">
      <c r="A66" s="355"/>
      <c r="B66" s="355"/>
      <c r="C66" s="355"/>
      <c r="D66" s="355"/>
      <c r="E66" s="355"/>
      <c r="F66" s="355"/>
      <c r="G66" s="355"/>
      <c r="I66" s="40" t="s">
        <v>167</v>
      </c>
      <c r="J66" s="29">
        <f>B7*K66%</f>
        <v>0</v>
      </c>
      <c r="K66" s="12">
        <v>0</v>
      </c>
      <c r="L66" s="57">
        <f>K66*L74/100</f>
        <v>0</v>
      </c>
      <c r="M66" s="56"/>
    </row>
    <row r="67" spans="1:13" s="1" customFormat="1" ht="13.5" thickBot="1" x14ac:dyDescent="0.25">
      <c r="I67" s="226" t="s">
        <v>170</v>
      </c>
      <c r="J67" s="29">
        <f>K67%*B7</f>
        <v>0</v>
      </c>
      <c r="K67" s="225">
        <v>0</v>
      </c>
      <c r="L67" s="57">
        <f>K67*L74/100</f>
        <v>0</v>
      </c>
      <c r="M67" s="56"/>
    </row>
    <row r="68" spans="1:13" s="1" customFormat="1" ht="28.15" customHeight="1" thickBot="1" x14ac:dyDescent="0.25">
      <c r="A68" s="354" t="s">
        <v>194</v>
      </c>
      <c r="B68" s="355"/>
      <c r="C68" s="355"/>
      <c r="D68" s="355"/>
      <c r="E68" s="355"/>
      <c r="F68" s="355"/>
      <c r="G68" s="355"/>
      <c r="I68" s="26" t="s">
        <v>8</v>
      </c>
      <c r="J68" s="27">
        <f>SUM(J61:J67)</f>
        <v>431586</v>
      </c>
      <c r="K68" s="32">
        <f>SUM(K61:K67)</f>
        <v>17.982750000000003</v>
      </c>
      <c r="L68" s="57">
        <f>K68*L74/100</f>
        <v>0.18</v>
      </c>
      <c r="M68" s="56"/>
    </row>
    <row r="69" spans="1:13" s="1" customFormat="1" ht="12.75" x14ac:dyDescent="0.2">
      <c r="A69" s="67"/>
      <c r="B69" s="67"/>
      <c r="C69" s="67"/>
      <c r="D69" s="67"/>
      <c r="E69" s="67"/>
      <c r="L69" s="57">
        <f>K67*L74/100</f>
        <v>0</v>
      </c>
      <c r="M69" s="56"/>
    </row>
    <row r="70" spans="1:13" s="1" customFormat="1" ht="35.450000000000003" customHeight="1" x14ac:dyDescent="0.2">
      <c r="A70" s="367" t="s">
        <v>169</v>
      </c>
      <c r="B70" s="355"/>
      <c r="C70" s="355"/>
      <c r="D70" s="355"/>
      <c r="E70" s="355"/>
      <c r="F70" s="355"/>
      <c r="G70" s="355"/>
      <c r="L70" s="60">
        <f>K68*L74/100</f>
        <v>0.18</v>
      </c>
      <c r="M70" s="56">
        <f>SUM(L6:M67)</f>
        <v>0.17999999999999997</v>
      </c>
    </row>
    <row r="71" spans="1:13" s="1" customFormat="1" ht="13.15" customHeight="1" thickBot="1" x14ac:dyDescent="0.25">
      <c r="L71" s="56"/>
      <c r="M71" s="56"/>
    </row>
    <row r="72" spans="1:13" s="1" customFormat="1" ht="12.75" x14ac:dyDescent="0.2">
      <c r="A72" s="222"/>
      <c r="B72" s="222"/>
      <c r="C72" s="222"/>
      <c r="D72" s="222"/>
      <c r="E72" s="222"/>
      <c r="F72" s="222"/>
      <c r="G72" s="222"/>
      <c r="I72" s="33" t="s">
        <v>20</v>
      </c>
      <c r="J72" s="34"/>
      <c r="K72" s="197">
        <f>ROUND(K68,0)</f>
        <v>18</v>
      </c>
      <c r="L72" s="56"/>
      <c r="M72" s="56"/>
    </row>
    <row r="73" spans="1:13" s="1" customFormat="1" ht="13.5" thickBot="1" x14ac:dyDescent="0.25">
      <c r="I73" s="35" t="s">
        <v>21</v>
      </c>
      <c r="J73" s="36"/>
      <c r="K73" s="169">
        <f>B7*K72/100</f>
        <v>432000</v>
      </c>
      <c r="L73" s="56" t="s">
        <v>26</v>
      </c>
      <c r="M73" s="56"/>
    </row>
    <row r="74" spans="1:13" s="1" customFormat="1" ht="12.75" customHeight="1" x14ac:dyDescent="0.2">
      <c r="L74" s="56">
        <f>K72/K68</f>
        <v>1.0009592526170912</v>
      </c>
      <c r="M74" s="56"/>
    </row>
    <row r="75" spans="1:13" s="1" customFormat="1" ht="12.75" x14ac:dyDescent="0.2">
      <c r="L75" s="56"/>
      <c r="M75" s="56"/>
    </row>
  </sheetData>
  <sheetProtection selectLockedCells="1" selectUnlockedCells="1"/>
  <mergeCells count="15">
    <mergeCell ref="L4:M4"/>
    <mergeCell ref="A5:B5"/>
    <mergeCell ref="C3:E3"/>
    <mergeCell ref="J15:K15"/>
    <mergeCell ref="A61:G62"/>
    <mergeCell ref="A70:G70"/>
    <mergeCell ref="A6:B6"/>
    <mergeCell ref="A15:D15"/>
    <mergeCell ref="F15:I15"/>
    <mergeCell ref="A1:J1"/>
    <mergeCell ref="A4:I4"/>
    <mergeCell ref="J4:K5"/>
    <mergeCell ref="A64:G66"/>
    <mergeCell ref="A68:G68"/>
    <mergeCell ref="A59:G59"/>
  </mergeCells>
  <pageMargins left="0.23622047244094491" right="0.19685039370078741" top="0.74803149606299213" bottom="0.74803149606299213" header="0.31496062992125984" footer="0.31496062992125984"/>
  <pageSetup paperSize="9" firstPageNumber="0" orientation="landscape" cellComments="asDisplayed"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F23" sqref="F23:H23"/>
    </sheetView>
  </sheetViews>
  <sheetFormatPr baseColWidth="10" defaultRowHeight="12.75" x14ac:dyDescent="0.2"/>
  <cols>
    <col min="1" max="1" width="33.5703125" bestFit="1" customWidth="1"/>
    <col min="3" max="3" width="18.28515625" style="180" customWidth="1"/>
    <col min="4" max="4" width="18.28515625" customWidth="1"/>
    <col min="5" max="5" width="18.85546875" customWidth="1"/>
    <col min="6" max="6" width="17.7109375" customWidth="1"/>
    <col min="7" max="7" width="13.140625" customWidth="1"/>
    <col min="8" max="8" width="25.85546875" customWidth="1"/>
  </cols>
  <sheetData>
    <row r="1" spans="1:8" ht="15" x14ac:dyDescent="0.2">
      <c r="A1" s="175" t="str">
        <f>Détail!B2</f>
        <v>VILLE_Projet de xxxxxxxxxxxxxxxxxxxxxxxxxxxxxxxxxxxxxx</v>
      </c>
    </row>
    <row r="3" spans="1:8" x14ac:dyDescent="0.2">
      <c r="C3" s="256" t="s">
        <v>228</v>
      </c>
      <c r="D3" s="314" t="s">
        <v>229</v>
      </c>
      <c r="E3" s="314"/>
      <c r="F3" s="315" t="s">
        <v>230</v>
      </c>
      <c r="G3" s="315"/>
      <c r="H3" s="315"/>
    </row>
    <row r="4" spans="1:8" x14ac:dyDescent="0.2">
      <c r="A4" s="111" t="s">
        <v>218</v>
      </c>
      <c r="C4" s="251" t="s">
        <v>219</v>
      </c>
      <c r="D4" s="317" t="s">
        <v>220</v>
      </c>
      <c r="E4" s="317"/>
      <c r="F4" s="317" t="s">
        <v>223</v>
      </c>
      <c r="G4" s="317"/>
      <c r="H4" s="317"/>
    </row>
    <row r="5" spans="1:8" x14ac:dyDescent="0.2">
      <c r="A5" s="111"/>
      <c r="C5" s="251"/>
      <c r="D5" s="251" t="s">
        <v>221</v>
      </c>
      <c r="E5" s="251" t="s">
        <v>222</v>
      </c>
      <c r="F5" s="251" t="s">
        <v>224</v>
      </c>
      <c r="G5" s="318" t="s">
        <v>226</v>
      </c>
      <c r="H5" s="251" t="s">
        <v>225</v>
      </c>
    </row>
    <row r="6" spans="1:8" x14ac:dyDescent="0.2">
      <c r="C6" s="251"/>
      <c r="D6" s="251"/>
      <c r="E6" s="251"/>
      <c r="F6" s="251"/>
      <c r="G6" s="319"/>
      <c r="H6" s="251" t="s">
        <v>227</v>
      </c>
    </row>
    <row r="7" spans="1:8" x14ac:dyDescent="0.2">
      <c r="A7" t="str">
        <f>Détail!A19</f>
        <v>1. Acquisitions immobilières</v>
      </c>
    </row>
    <row r="8" spans="1:8" x14ac:dyDescent="0.2">
      <c r="A8" s="250">
        <f>Détail!D19</f>
        <v>0</v>
      </c>
      <c r="C8" s="252">
        <f>A8</f>
        <v>0</v>
      </c>
      <c r="D8" s="250"/>
      <c r="E8" s="250"/>
      <c r="F8" s="250"/>
      <c r="G8" s="250"/>
      <c r="H8" s="250"/>
    </row>
    <row r="9" spans="1:8" x14ac:dyDescent="0.2">
      <c r="C9" s="250"/>
      <c r="D9" s="250"/>
      <c r="E9" s="250"/>
      <c r="F9" s="250"/>
      <c r="G9" s="250"/>
      <c r="H9" s="250"/>
    </row>
    <row r="10" spans="1:8" x14ac:dyDescent="0.2">
      <c r="A10" t="str">
        <f>Détail!A21</f>
        <v>2. Travaux préparatoires</v>
      </c>
      <c r="C10" s="250"/>
      <c r="D10" s="250"/>
      <c r="E10" s="250"/>
      <c r="F10" s="250"/>
      <c r="G10" s="250"/>
      <c r="H10" s="250"/>
    </row>
    <row r="11" spans="1:8" x14ac:dyDescent="0.2">
      <c r="A11" s="250">
        <f>Détail!D21</f>
        <v>29947.5</v>
      </c>
      <c r="C11" s="252">
        <f>A11</f>
        <v>29947.5</v>
      </c>
      <c r="D11" s="250"/>
      <c r="E11" s="250"/>
      <c r="F11" s="250"/>
      <c r="G11" s="250"/>
      <c r="H11" s="250"/>
    </row>
    <row r="12" spans="1:8" x14ac:dyDescent="0.2">
      <c r="C12" s="250"/>
      <c r="D12" s="250"/>
      <c r="E12" s="250"/>
      <c r="F12" s="250"/>
      <c r="G12" s="250"/>
      <c r="H12" s="250"/>
    </row>
    <row r="13" spans="1:8" x14ac:dyDescent="0.2">
      <c r="A13" t="str">
        <f>Détail!A27</f>
        <v>3. Marché d'auteurs de projet</v>
      </c>
      <c r="C13" s="250"/>
      <c r="D13" s="250"/>
      <c r="E13" s="250"/>
      <c r="F13" s="250"/>
      <c r="G13" s="250"/>
      <c r="H13" s="250"/>
    </row>
    <row r="14" spans="1:8" x14ac:dyDescent="0.2">
      <c r="A14" s="250">
        <f>Détail!$D$27</f>
        <v>37030</v>
      </c>
      <c r="C14" s="250"/>
      <c r="D14" s="250"/>
      <c r="E14" s="252">
        <f>A14</f>
        <v>37030</v>
      </c>
      <c r="F14" s="250"/>
      <c r="G14" s="250"/>
      <c r="H14" s="250"/>
    </row>
    <row r="15" spans="1:8" x14ac:dyDescent="0.2">
      <c r="C15" s="250"/>
      <c r="D15" s="250"/>
      <c r="E15" s="250"/>
      <c r="F15" s="250"/>
      <c r="G15" s="250"/>
      <c r="H15" s="250"/>
    </row>
    <row r="16" spans="1:8" x14ac:dyDescent="0.2">
      <c r="A16" t="str">
        <f>Détail!A34</f>
        <v>4. Honoraires auteurs de projet</v>
      </c>
      <c r="C16" s="250"/>
      <c r="D16" s="250"/>
      <c r="E16" s="250"/>
      <c r="F16" s="250"/>
      <c r="G16" s="250"/>
      <c r="H16" s="250"/>
    </row>
    <row r="17" spans="1:8" x14ac:dyDescent="0.2">
      <c r="A17" s="250">
        <f>Détail!D34</f>
        <v>-5000</v>
      </c>
      <c r="C17" s="250"/>
      <c r="D17" s="250"/>
      <c r="E17" s="250"/>
      <c r="F17" s="252">
        <f>55%*A17</f>
        <v>-2750</v>
      </c>
      <c r="G17" s="252">
        <f>5%*A17</f>
        <v>-250</v>
      </c>
      <c r="H17" s="252">
        <f>40%*A17</f>
        <v>-2000</v>
      </c>
    </row>
    <row r="18" spans="1:8" x14ac:dyDescent="0.2">
      <c r="C18" s="250"/>
      <c r="D18" s="250"/>
      <c r="E18" s="250"/>
      <c r="F18" s="250"/>
      <c r="G18" s="250"/>
      <c r="H18" s="250"/>
    </row>
    <row r="19" spans="1:8" x14ac:dyDescent="0.2">
      <c r="A19" t="str">
        <f>Détail!A38</f>
        <v>5. Travaux</v>
      </c>
      <c r="C19" s="250"/>
      <c r="D19" s="250"/>
      <c r="E19" s="250"/>
      <c r="F19" s="250"/>
      <c r="G19" s="250"/>
      <c r="H19" s="250"/>
    </row>
    <row r="20" spans="1:8" x14ac:dyDescent="0.2">
      <c r="A20" s="250">
        <f>Détail!D38</f>
        <v>3078240</v>
      </c>
      <c r="C20" s="250"/>
      <c r="D20" s="250"/>
      <c r="E20" s="250"/>
      <c r="H20" s="257">
        <f>A20</f>
        <v>3078240</v>
      </c>
    </row>
    <row r="21" spans="1:8" x14ac:dyDescent="0.2">
      <c r="C21" s="250"/>
      <c r="D21" s="250"/>
      <c r="E21" s="250"/>
      <c r="F21" s="250"/>
      <c r="G21" s="250"/>
      <c r="H21" s="250"/>
    </row>
    <row r="22" spans="1:8" x14ac:dyDescent="0.2">
      <c r="A22" t="str">
        <f>Détail!A50</f>
        <v>6. Divers</v>
      </c>
      <c r="C22" s="250"/>
      <c r="D22" s="250"/>
      <c r="E22" s="250"/>
      <c r="F22" s="250"/>
      <c r="G22" s="250"/>
      <c r="H22" s="250"/>
    </row>
    <row r="23" spans="1:8" x14ac:dyDescent="0.2">
      <c r="A23" s="250">
        <f>Détail!D50</f>
        <v>40994.800000000003</v>
      </c>
      <c r="C23" s="250"/>
      <c r="D23" s="250"/>
      <c r="E23" s="250"/>
      <c r="F23" s="316">
        <f>A23</f>
        <v>40994.800000000003</v>
      </c>
      <c r="G23" s="316"/>
      <c r="H23" s="316"/>
    </row>
    <row r="25" spans="1:8" x14ac:dyDescent="0.2">
      <c r="A25" s="111" t="s">
        <v>8</v>
      </c>
    </row>
    <row r="26" spans="1:8" x14ac:dyDescent="0.2">
      <c r="A26" s="249">
        <f>SUM(A7:A24)</f>
        <v>3181212.3</v>
      </c>
    </row>
  </sheetData>
  <mergeCells count="6">
    <mergeCell ref="D3:E3"/>
    <mergeCell ref="F3:H3"/>
    <mergeCell ref="F23:H23"/>
    <mergeCell ref="D4:E4"/>
    <mergeCell ref="F4:H4"/>
    <mergeCell ref="G5:G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77"/>
  <sheetViews>
    <sheetView topLeftCell="C1" zoomScale="70" zoomScaleNormal="70" workbookViewId="0">
      <selection activeCell="A6" sqref="A6"/>
    </sheetView>
  </sheetViews>
  <sheetFormatPr baseColWidth="10" defaultRowHeight="12.75" x14ac:dyDescent="0.2"/>
  <cols>
    <col min="1" max="1" width="85" customWidth="1"/>
    <col min="2" max="2" width="38.5703125" customWidth="1"/>
    <col min="3" max="3" width="21.140625" customWidth="1"/>
    <col min="4" max="4" width="47.140625" customWidth="1"/>
    <col min="5" max="5" width="54.5703125" customWidth="1"/>
    <col min="6" max="6" width="26.7109375" customWidth="1"/>
    <col min="7" max="7" width="21.85546875" customWidth="1"/>
  </cols>
  <sheetData>
    <row r="1" spans="1:5" ht="23.25" x14ac:dyDescent="0.35">
      <c r="A1" s="109" t="s">
        <v>73</v>
      </c>
      <c r="D1" s="110"/>
      <c r="E1" s="110"/>
    </row>
    <row r="2" spans="1:5" x14ac:dyDescent="0.2">
      <c r="A2" s="1" t="s">
        <v>74</v>
      </c>
      <c r="B2" s="253" t="s">
        <v>235</v>
      </c>
      <c r="D2" s="110"/>
      <c r="E2" s="110"/>
    </row>
    <row r="3" spans="1:5" ht="13.5" thickBot="1" x14ac:dyDescent="0.25">
      <c r="A3" s="1"/>
      <c r="B3" s="253"/>
      <c r="D3" s="110"/>
      <c r="E3" s="110"/>
    </row>
    <row r="4" spans="1:5" ht="26.25" thickBot="1" x14ac:dyDescent="0.25">
      <c r="A4" s="306" t="s">
        <v>249</v>
      </c>
      <c r="B4" s="303">
        <v>0</v>
      </c>
      <c r="C4" s="304" t="s">
        <v>245</v>
      </c>
      <c r="D4" s="110"/>
      <c r="E4" s="110"/>
    </row>
    <row r="5" spans="1:5" ht="15" x14ac:dyDescent="0.2">
      <c r="A5" s="126" t="s">
        <v>244</v>
      </c>
      <c r="B5" s="125">
        <v>1</v>
      </c>
      <c r="D5" s="110"/>
      <c r="E5" s="110"/>
    </row>
    <row r="6" spans="1:5" ht="15" x14ac:dyDescent="0.2">
      <c r="A6" s="309" t="s">
        <v>75</v>
      </c>
      <c r="B6" s="310">
        <v>1</v>
      </c>
      <c r="D6" s="110"/>
      <c r="E6" s="110"/>
    </row>
    <row r="7" spans="1:5" ht="15" x14ac:dyDescent="0.2">
      <c r="A7" s="309" t="s">
        <v>204</v>
      </c>
      <c r="B7" s="310">
        <v>1</v>
      </c>
      <c r="D7" s="110"/>
      <c r="E7" s="110"/>
    </row>
    <row r="8" spans="1:5" ht="15" x14ac:dyDescent="0.2">
      <c r="A8" s="309" t="s">
        <v>205</v>
      </c>
      <c r="B8" s="310">
        <v>3</v>
      </c>
      <c r="D8" s="110"/>
      <c r="E8" s="110"/>
    </row>
    <row r="9" spans="1:5" ht="15" x14ac:dyDescent="0.2">
      <c r="A9" s="309" t="s">
        <v>76</v>
      </c>
      <c r="B9" s="310">
        <v>1</v>
      </c>
      <c r="D9" s="110"/>
      <c r="E9" s="110"/>
    </row>
    <row r="10" spans="1:5" ht="15" x14ac:dyDescent="0.2">
      <c r="A10" s="311" t="s">
        <v>199</v>
      </c>
      <c r="B10" s="310">
        <v>1</v>
      </c>
      <c r="D10" s="110"/>
      <c r="E10" s="110"/>
    </row>
    <row r="11" spans="1:5" ht="15.75" thickBot="1" x14ac:dyDescent="0.25">
      <c r="A11" s="312" t="s">
        <v>198</v>
      </c>
      <c r="B11" s="313">
        <v>1</v>
      </c>
      <c r="D11" s="110"/>
      <c r="E11" s="110"/>
    </row>
    <row r="12" spans="1:5" ht="15.75" thickBot="1" x14ac:dyDescent="0.25">
      <c r="A12" s="307" t="s">
        <v>77</v>
      </c>
      <c r="B12" s="308">
        <v>5</v>
      </c>
      <c r="D12" s="110"/>
      <c r="E12" s="110"/>
    </row>
    <row r="13" spans="1:5" ht="15" x14ac:dyDescent="0.2">
      <c r="A13" s="190" t="s">
        <v>156</v>
      </c>
      <c r="B13" s="198">
        <v>1500</v>
      </c>
      <c r="D13" s="110"/>
      <c r="E13" s="110"/>
    </row>
    <row r="14" spans="1:5" ht="15" x14ac:dyDescent="0.2">
      <c r="A14" s="190" t="s">
        <v>215</v>
      </c>
      <c r="B14" s="192">
        <f>C39/B13*(100%-B46)</f>
        <v>1532.72</v>
      </c>
      <c r="D14" s="110"/>
      <c r="E14" s="110"/>
    </row>
    <row r="15" spans="1:5" ht="15" x14ac:dyDescent="0.2">
      <c r="A15" s="190" t="s">
        <v>135</v>
      </c>
      <c r="B15" s="198">
        <v>1000</v>
      </c>
      <c r="D15" s="110"/>
      <c r="E15" s="110"/>
    </row>
    <row r="16" spans="1:5" ht="15.75" thickBot="1" x14ac:dyDescent="0.25">
      <c r="A16" s="190" t="s">
        <v>208</v>
      </c>
      <c r="B16" s="166">
        <v>150</v>
      </c>
      <c r="D16" s="110"/>
      <c r="E16" s="110"/>
    </row>
    <row r="17" spans="1:6" ht="13.5" thickBot="1" x14ac:dyDescent="0.25">
      <c r="A17" s="1" t="s">
        <v>79</v>
      </c>
      <c r="B17" s="127" t="s">
        <v>78</v>
      </c>
      <c r="D17" s="110"/>
      <c r="E17" s="291" t="s">
        <v>150</v>
      </c>
    </row>
    <row r="18" spans="1:6" ht="25.5" x14ac:dyDescent="0.2">
      <c r="A18" s="260"/>
      <c r="B18" s="261" t="s">
        <v>236</v>
      </c>
      <c r="C18" s="261" t="s">
        <v>62</v>
      </c>
      <c r="D18" s="262" t="s">
        <v>63</v>
      </c>
      <c r="E18" s="263" t="s">
        <v>172</v>
      </c>
      <c r="F18" s="112" t="s">
        <v>64</v>
      </c>
    </row>
    <row r="19" spans="1:6" ht="24" customHeight="1" x14ac:dyDescent="0.2">
      <c r="A19" s="334" t="s">
        <v>65</v>
      </c>
      <c r="B19" s="335"/>
      <c r="C19" s="113"/>
      <c r="D19" s="264">
        <f>SUM(D20:D20)</f>
        <v>0</v>
      </c>
      <c r="E19" s="265">
        <f>SUM(E20:E20)</f>
        <v>0</v>
      </c>
    </row>
    <row r="20" spans="1:6" x14ac:dyDescent="0.2">
      <c r="A20" s="266"/>
      <c r="B20" s="115"/>
      <c r="C20" s="267">
        <v>0</v>
      </c>
      <c r="D20" s="268">
        <v>0</v>
      </c>
      <c r="E20" s="269">
        <f>$D$20</f>
        <v>0</v>
      </c>
      <c r="F20" s="116"/>
    </row>
    <row r="21" spans="1:6" ht="24" customHeight="1" x14ac:dyDescent="0.2">
      <c r="A21" s="334" t="s">
        <v>66</v>
      </c>
      <c r="B21" s="335"/>
      <c r="C21" s="113"/>
      <c r="D21" s="264">
        <f>SUM(D22:D26)</f>
        <v>29947.5</v>
      </c>
      <c r="E21" s="265">
        <f>SUM(E22:E26)</f>
        <v>29947.5</v>
      </c>
    </row>
    <row r="22" spans="1:6" s="118" customFormat="1" ht="14.25" x14ac:dyDescent="0.2">
      <c r="A22" s="266" t="s">
        <v>211</v>
      </c>
      <c r="B22" s="293">
        <v>0.21</v>
      </c>
      <c r="C22" s="236">
        <v>15000</v>
      </c>
      <c r="D22" s="270">
        <f>C22*1+B22*C22</f>
        <v>18150</v>
      </c>
      <c r="E22" s="271">
        <f>D22</f>
        <v>18150</v>
      </c>
    </row>
    <row r="23" spans="1:6" s="118" customFormat="1" ht="14.25" x14ac:dyDescent="0.2">
      <c r="A23" s="266" t="s">
        <v>200</v>
      </c>
      <c r="B23" s="293">
        <v>0.21</v>
      </c>
      <c r="C23" s="236">
        <v>4000</v>
      </c>
      <c r="D23" s="270">
        <f>C23*1+B23*C23</f>
        <v>4840</v>
      </c>
      <c r="E23" s="271">
        <f>D23</f>
        <v>4840</v>
      </c>
    </row>
    <row r="24" spans="1:6" x14ac:dyDescent="0.2">
      <c r="A24" s="266" t="s">
        <v>144</v>
      </c>
      <c r="B24" s="293">
        <v>0.21</v>
      </c>
      <c r="C24" s="234">
        <v>5000</v>
      </c>
      <c r="D24" s="270">
        <f t="shared" ref="D24:D25" si="0">C24*1+B24*C24</f>
        <v>6050</v>
      </c>
      <c r="E24" s="269">
        <f t="shared" ref="E24:E25" si="1">D24</f>
        <v>6050</v>
      </c>
      <c r="F24" s="116"/>
    </row>
    <row r="25" spans="1:6" x14ac:dyDescent="0.2">
      <c r="A25" s="266" t="s">
        <v>67</v>
      </c>
      <c r="B25" s="293">
        <v>0.21</v>
      </c>
      <c r="C25" s="234">
        <f>0.5*B13</f>
        <v>750</v>
      </c>
      <c r="D25" s="270">
        <f t="shared" si="0"/>
        <v>907.5</v>
      </c>
      <c r="E25" s="269">
        <f t="shared" si="1"/>
        <v>907.5</v>
      </c>
      <c r="F25" s="116"/>
    </row>
    <row r="26" spans="1:6" s="118" customFormat="1" ht="14.25" x14ac:dyDescent="0.2">
      <c r="A26" s="272" t="s">
        <v>209</v>
      </c>
      <c r="B26" s="293">
        <v>0.21</v>
      </c>
      <c r="C26" s="239">
        <v>0</v>
      </c>
      <c r="D26" s="270">
        <f>C26*1+B26*C26</f>
        <v>0</v>
      </c>
      <c r="E26" s="271">
        <f>D26</f>
        <v>0</v>
      </c>
      <c r="F26" s="187"/>
    </row>
    <row r="27" spans="1:6" ht="24" customHeight="1" x14ac:dyDescent="0.2">
      <c r="A27" s="334" t="s">
        <v>68</v>
      </c>
      <c r="B27" s="335"/>
      <c r="C27" s="113"/>
      <c r="D27" s="264">
        <f>SUM(D28:D33)</f>
        <v>37030</v>
      </c>
      <c r="E27" s="265">
        <f>SUM(E28:E33)</f>
        <v>37030</v>
      </c>
    </row>
    <row r="28" spans="1:6" x14ac:dyDescent="0.2">
      <c r="A28" s="266" t="s">
        <v>80</v>
      </c>
      <c r="B28" s="293">
        <v>0</v>
      </c>
      <c r="C28" s="235">
        <f>B5*(375*B7+B10*125)</f>
        <v>500</v>
      </c>
      <c r="D28" s="270">
        <f>C28*1+B28*C28</f>
        <v>500</v>
      </c>
      <c r="E28" s="269">
        <f t="shared" ref="E28:E33" si="2">D28</f>
        <v>500</v>
      </c>
      <c r="F28" s="116"/>
    </row>
    <row r="29" spans="1:6" x14ac:dyDescent="0.2">
      <c r="A29" s="266" t="s">
        <v>81</v>
      </c>
      <c r="B29" s="293">
        <v>0</v>
      </c>
      <c r="C29" s="235">
        <f>B6*(375*B8+125*B11)</f>
        <v>1250</v>
      </c>
      <c r="D29" s="270">
        <f t="shared" ref="D29:D32" si="3">C29*1+B29*C29</f>
        <v>1250</v>
      </c>
      <c r="E29" s="269">
        <f t="shared" si="2"/>
        <v>1250</v>
      </c>
      <c r="F29" s="116"/>
    </row>
    <row r="30" spans="1:6" x14ac:dyDescent="0.2">
      <c r="A30" s="266" t="s">
        <v>82</v>
      </c>
      <c r="B30" s="293">
        <v>0</v>
      </c>
      <c r="C30" s="235">
        <f>B5*((50*B7)+(B9*(100+100)))</f>
        <v>250</v>
      </c>
      <c r="D30" s="270">
        <f t="shared" si="3"/>
        <v>250</v>
      </c>
      <c r="E30" s="269">
        <f t="shared" si="2"/>
        <v>250</v>
      </c>
    </row>
    <row r="31" spans="1:6" x14ac:dyDescent="0.2">
      <c r="A31" s="266" t="s">
        <v>83</v>
      </c>
      <c r="B31" s="293">
        <v>0</v>
      </c>
      <c r="C31" s="235">
        <f>B6*((50*B8)+(B9*(100+100)))</f>
        <v>350</v>
      </c>
      <c r="D31" s="270">
        <f t="shared" si="3"/>
        <v>350</v>
      </c>
      <c r="E31" s="269">
        <f t="shared" si="2"/>
        <v>350</v>
      </c>
    </row>
    <row r="32" spans="1:6" x14ac:dyDescent="0.2">
      <c r="A32" s="266" t="s">
        <v>149</v>
      </c>
      <c r="B32" s="293">
        <v>0.21</v>
      </c>
      <c r="C32" s="235">
        <v>8000</v>
      </c>
      <c r="D32" s="270">
        <f t="shared" si="3"/>
        <v>9680</v>
      </c>
      <c r="E32" s="269">
        <f>D32</f>
        <v>9680</v>
      </c>
    </row>
    <row r="33" spans="1:7" x14ac:dyDescent="0.2">
      <c r="A33" s="266" t="s">
        <v>146</v>
      </c>
      <c r="B33" s="293">
        <v>0</v>
      </c>
      <c r="C33" s="235">
        <f>(B12)*'Calcul Dédommagement'!F36</f>
        <v>25000</v>
      </c>
      <c r="D33" s="270">
        <f>C33*1+B33*C33</f>
        <v>25000</v>
      </c>
      <c r="E33" s="269">
        <f t="shared" si="2"/>
        <v>25000</v>
      </c>
      <c r="F33" s="116"/>
    </row>
    <row r="34" spans="1:7" ht="24" customHeight="1" x14ac:dyDescent="0.2">
      <c r="A34" s="334" t="s">
        <v>69</v>
      </c>
      <c r="B34" s="335"/>
      <c r="C34" s="264"/>
      <c r="D34" s="264">
        <f>SUM(D35:D37)</f>
        <v>-5000</v>
      </c>
      <c r="E34" s="274">
        <f>SUM(E35:E37)</f>
        <v>-5000</v>
      </c>
    </row>
    <row r="35" spans="1:7" s="118" customFormat="1" ht="17.45" customHeight="1" x14ac:dyDescent="0.25">
      <c r="A35" s="275" t="s">
        <v>133</v>
      </c>
      <c r="B35" s="302">
        <v>0.21</v>
      </c>
      <c r="C35" s="240"/>
      <c r="D35" s="294">
        <f>C35*1.21</f>
        <v>0</v>
      </c>
      <c r="E35" s="269">
        <f>D35</f>
        <v>0</v>
      </c>
      <c r="F35" s="187"/>
    </row>
    <row r="36" spans="1:7" s="118" customFormat="1" ht="14.25" x14ac:dyDescent="0.2">
      <c r="A36" s="276" t="s">
        <v>145</v>
      </c>
      <c r="B36" s="293">
        <v>0</v>
      </c>
      <c r="C36" s="201">
        <f>-'Calcul Dédommagement'!F36</f>
        <v>-5000</v>
      </c>
      <c r="D36" s="295">
        <f>C36*1+B36*C36</f>
        <v>-5000</v>
      </c>
      <c r="E36" s="269">
        <f>D36</f>
        <v>-5000</v>
      </c>
      <c r="F36" s="188"/>
    </row>
    <row r="37" spans="1:7" s="118" customFormat="1" ht="15" x14ac:dyDescent="0.25">
      <c r="A37" s="277" t="s">
        <v>147</v>
      </c>
      <c r="B37" s="302">
        <v>0.21</v>
      </c>
      <c r="C37" s="202">
        <f>B48*C35</f>
        <v>0</v>
      </c>
      <c r="D37" s="294">
        <f>C37*1.21</f>
        <v>0</v>
      </c>
      <c r="E37" s="269">
        <f>D37</f>
        <v>0</v>
      </c>
      <c r="F37" s="188"/>
    </row>
    <row r="38" spans="1:7" ht="24" customHeight="1" x14ac:dyDescent="0.2">
      <c r="A38" s="278" t="s">
        <v>70</v>
      </c>
      <c r="B38" s="258"/>
      <c r="C38" s="264"/>
      <c r="D38" s="264">
        <f>D43+D47+D49</f>
        <v>3078240</v>
      </c>
      <c r="E38" s="265">
        <f>E43+E47+E49</f>
        <v>3078240</v>
      </c>
      <c r="F38" s="186"/>
    </row>
    <row r="39" spans="1:7" s="118" customFormat="1" ht="14.25" x14ac:dyDescent="0.2">
      <c r="A39" s="279" t="s">
        <v>210</v>
      </c>
      <c r="B39" s="293">
        <v>0.21</v>
      </c>
      <c r="C39" s="233">
        <f>C43-(C42+C40+C41)</f>
        <v>2346000</v>
      </c>
      <c r="D39" s="270">
        <f t="shared" ref="D39:D53" si="4">C39*1+B39*C39</f>
        <v>2838660</v>
      </c>
      <c r="E39" s="271">
        <f t="shared" ref="E39:E49" si="5">D39</f>
        <v>2838660</v>
      </c>
      <c r="F39" s="187"/>
    </row>
    <row r="40" spans="1:7" x14ac:dyDescent="0.2">
      <c r="A40" s="280" t="s">
        <v>195</v>
      </c>
      <c r="B40" s="293">
        <v>0.21</v>
      </c>
      <c r="C40" s="239">
        <v>0</v>
      </c>
      <c r="D40" s="270">
        <f t="shared" si="4"/>
        <v>0</v>
      </c>
      <c r="E40" s="281">
        <f t="shared" ref="E40" si="6">D40</f>
        <v>0</v>
      </c>
      <c r="F40" s="186"/>
      <c r="G40" s="116"/>
    </row>
    <row r="41" spans="1:7" x14ac:dyDescent="0.2">
      <c r="A41" s="280" t="s">
        <v>190</v>
      </c>
      <c r="B41" s="293">
        <v>0.21</v>
      </c>
      <c r="C41" s="239">
        <v>0</v>
      </c>
      <c r="D41" s="270">
        <f t="shared" si="4"/>
        <v>0</v>
      </c>
      <c r="E41" s="281">
        <f t="shared" ref="E41" si="7">D41</f>
        <v>0</v>
      </c>
      <c r="F41" s="186"/>
      <c r="G41" s="116"/>
    </row>
    <row r="42" spans="1:7" s="118" customFormat="1" ht="14.25" x14ac:dyDescent="0.2">
      <c r="A42" s="279" t="s">
        <v>189</v>
      </c>
      <c r="B42" s="293">
        <v>0.21</v>
      </c>
      <c r="C42" s="233">
        <f>B15*B16</f>
        <v>150000</v>
      </c>
      <c r="D42" s="270">
        <f t="shared" si="4"/>
        <v>181500</v>
      </c>
      <c r="E42" s="271">
        <f t="shared" si="5"/>
        <v>181500</v>
      </c>
      <c r="F42" s="187"/>
    </row>
    <row r="43" spans="1:7" s="118" customFormat="1" ht="15" x14ac:dyDescent="0.25">
      <c r="A43" s="279" t="s">
        <v>240</v>
      </c>
      <c r="B43" s="199" t="s">
        <v>8</v>
      </c>
      <c r="C43" s="202">
        <f>SUM(C44:C48)</f>
        <v>2496000</v>
      </c>
      <c r="D43" s="282">
        <f>C43*1.21</f>
        <v>3020160</v>
      </c>
      <c r="E43" s="283">
        <f t="shared" si="5"/>
        <v>3020160</v>
      </c>
      <c r="F43" s="187"/>
    </row>
    <row r="44" spans="1:7" ht="15" x14ac:dyDescent="0.25">
      <c r="A44" s="284" t="s">
        <v>237</v>
      </c>
      <c r="B44" s="293">
        <v>0.21</v>
      </c>
      <c r="C44" s="203">
        <v>2400000</v>
      </c>
      <c r="D44" s="270">
        <f t="shared" si="4"/>
        <v>2904000</v>
      </c>
      <c r="E44" s="281">
        <f>D44</f>
        <v>2904000</v>
      </c>
      <c r="F44" s="186"/>
      <c r="G44" s="118"/>
    </row>
    <row r="45" spans="1:7" ht="14.25" x14ac:dyDescent="0.2">
      <c r="A45" s="344" t="s">
        <v>212</v>
      </c>
      <c r="B45" s="297">
        <v>0.21</v>
      </c>
      <c r="C45" s="340">
        <f>C44*B46</f>
        <v>48000</v>
      </c>
      <c r="D45" s="324">
        <f t="shared" si="4"/>
        <v>58080</v>
      </c>
      <c r="E45" s="338">
        <f>D45</f>
        <v>58080</v>
      </c>
      <c r="F45" s="186"/>
      <c r="G45" s="118"/>
    </row>
    <row r="46" spans="1:7" ht="15" x14ac:dyDescent="0.25">
      <c r="A46" s="345"/>
      <c r="B46" s="296">
        <v>0.02</v>
      </c>
      <c r="C46" s="341"/>
      <c r="D46" s="325"/>
      <c r="E46" s="339"/>
      <c r="F46" s="186"/>
      <c r="G46" s="116"/>
    </row>
    <row r="47" spans="1:7" s="118" customFormat="1" ht="14.25" x14ac:dyDescent="0.2">
      <c r="A47" s="336" t="s">
        <v>239</v>
      </c>
      <c r="B47" s="297">
        <v>0.21</v>
      </c>
      <c r="C47" s="332">
        <f>B48*C44</f>
        <v>48000</v>
      </c>
      <c r="D47" s="330">
        <f>C47*1+B47*C47</f>
        <v>58080</v>
      </c>
      <c r="E47" s="342">
        <f t="shared" si="5"/>
        <v>58080</v>
      </c>
      <c r="F47" s="188"/>
    </row>
    <row r="48" spans="1:7" s="118" customFormat="1" ht="15" x14ac:dyDescent="0.25">
      <c r="A48" s="337"/>
      <c r="B48" s="296">
        <v>0.02</v>
      </c>
      <c r="C48" s="333"/>
      <c r="D48" s="331"/>
      <c r="E48" s="343"/>
      <c r="F48" s="188"/>
    </row>
    <row r="49" spans="1:7" s="118" customFormat="1" ht="15" x14ac:dyDescent="0.25">
      <c r="A49" s="277" t="s">
        <v>238</v>
      </c>
      <c r="B49" s="293">
        <v>0.21</v>
      </c>
      <c r="C49" s="286">
        <v>0</v>
      </c>
      <c r="D49" s="298">
        <f t="shared" si="4"/>
        <v>0</v>
      </c>
      <c r="E49" s="285">
        <f t="shared" si="5"/>
        <v>0</v>
      </c>
      <c r="F49" s="188"/>
    </row>
    <row r="50" spans="1:7" ht="24" customHeight="1" x14ac:dyDescent="0.2">
      <c r="A50" s="334" t="s">
        <v>71</v>
      </c>
      <c r="B50" s="335"/>
      <c r="C50" s="114"/>
      <c r="D50" s="114">
        <f>SUM(D51:D61)</f>
        <v>40994.800000000003</v>
      </c>
      <c r="E50" s="265">
        <f>SUM(E51:E61)</f>
        <v>40994.800000000003</v>
      </c>
    </row>
    <row r="51" spans="1:7" s="118" customFormat="1" ht="14.25" x14ac:dyDescent="0.2">
      <c r="A51" s="277" t="s">
        <v>201</v>
      </c>
      <c r="B51" s="293">
        <v>0.21</v>
      </c>
      <c r="C51" s="236">
        <v>2000</v>
      </c>
      <c r="D51" s="270">
        <f t="shared" si="4"/>
        <v>2420</v>
      </c>
      <c r="E51" s="271">
        <f>D51</f>
        <v>2420</v>
      </c>
    </row>
    <row r="52" spans="1:7" ht="16.149999999999999" customHeight="1" x14ac:dyDescent="0.2">
      <c r="A52" s="280" t="s">
        <v>196</v>
      </c>
      <c r="B52" s="293">
        <v>0.21</v>
      </c>
      <c r="C52" s="236">
        <v>0</v>
      </c>
      <c r="D52" s="270">
        <f t="shared" si="4"/>
        <v>0</v>
      </c>
      <c r="E52" s="281">
        <f t="shared" ref="E52" si="8">D52</f>
        <v>0</v>
      </c>
      <c r="F52" s="186"/>
      <c r="G52" s="116"/>
    </row>
    <row r="53" spans="1:7" s="118" customFormat="1" ht="15" x14ac:dyDescent="0.25">
      <c r="A53" s="275" t="s">
        <v>187</v>
      </c>
      <c r="B53" s="293">
        <v>0.21</v>
      </c>
      <c r="C53" s="202">
        <f>('Intégration Oeuvre d''Art'!F20)*(1+B4)</f>
        <v>19400</v>
      </c>
      <c r="D53" s="270">
        <f t="shared" si="4"/>
        <v>23474</v>
      </c>
      <c r="E53" s="271">
        <f>$D$53</f>
        <v>23474</v>
      </c>
      <c r="F53" s="117"/>
    </row>
    <row r="54" spans="1:7" s="118" customFormat="1" ht="37.9" customHeight="1" x14ac:dyDescent="0.2">
      <c r="A54" s="328" t="s">
        <v>188</v>
      </c>
      <c r="B54" s="241" t="s">
        <v>38</v>
      </c>
      <c r="C54" s="320">
        <f>B55*C43</f>
        <v>12480</v>
      </c>
      <c r="D54" s="322">
        <f>C54*1.21</f>
        <v>15100.8</v>
      </c>
      <c r="E54" s="326">
        <f>D54</f>
        <v>15100.8</v>
      </c>
    </row>
    <row r="55" spans="1:7" s="118" customFormat="1" ht="14.45" customHeight="1" x14ac:dyDescent="0.25">
      <c r="A55" s="329"/>
      <c r="B55" s="242">
        <v>5.0000000000000001E-3</v>
      </c>
      <c r="C55" s="321"/>
      <c r="D55" s="323"/>
      <c r="E55" s="327"/>
    </row>
    <row r="56" spans="1:7" s="118" customFormat="1" ht="15" x14ac:dyDescent="0.25">
      <c r="A56" s="277" t="s">
        <v>186</v>
      </c>
      <c r="B56" s="200"/>
      <c r="C56" s="237">
        <f>SUM(C57:C61)</f>
        <v>0</v>
      </c>
      <c r="D56" s="273"/>
      <c r="E56" s="271"/>
    </row>
    <row r="57" spans="1:7" x14ac:dyDescent="0.2">
      <c r="A57" s="287" t="s">
        <v>72</v>
      </c>
      <c r="B57" s="299">
        <v>0.21</v>
      </c>
      <c r="C57" s="238">
        <v>0</v>
      </c>
      <c r="D57" s="270">
        <f t="shared" ref="D57:D61" si="9">C57*1+B57*C57</f>
        <v>0</v>
      </c>
      <c r="E57" s="269">
        <f t="shared" ref="E57:E61" si="10">D57</f>
        <v>0</v>
      </c>
      <c r="F57" s="116"/>
    </row>
    <row r="58" spans="1:7" x14ac:dyDescent="0.2">
      <c r="A58" s="287" t="s">
        <v>72</v>
      </c>
      <c r="B58" s="299">
        <v>0.21</v>
      </c>
      <c r="C58" s="238">
        <v>0</v>
      </c>
      <c r="D58" s="270">
        <f t="shared" si="9"/>
        <v>0</v>
      </c>
      <c r="E58" s="269">
        <f t="shared" si="10"/>
        <v>0</v>
      </c>
      <c r="F58" s="116"/>
    </row>
    <row r="59" spans="1:7" x14ac:dyDescent="0.2">
      <c r="A59" s="287" t="s">
        <v>72</v>
      </c>
      <c r="B59" s="299">
        <v>0.21</v>
      </c>
      <c r="C59" s="238">
        <v>0</v>
      </c>
      <c r="D59" s="270">
        <f t="shared" si="9"/>
        <v>0</v>
      </c>
      <c r="E59" s="269">
        <f t="shared" si="10"/>
        <v>0</v>
      </c>
      <c r="F59" s="116"/>
    </row>
    <row r="60" spans="1:7" x14ac:dyDescent="0.2">
      <c r="A60" s="287" t="s">
        <v>72</v>
      </c>
      <c r="B60" s="299">
        <v>0.21</v>
      </c>
      <c r="C60" s="238">
        <v>0</v>
      </c>
      <c r="D60" s="270">
        <f t="shared" si="9"/>
        <v>0</v>
      </c>
      <c r="E60" s="269">
        <f t="shared" si="10"/>
        <v>0</v>
      </c>
      <c r="F60" s="116"/>
    </row>
    <row r="61" spans="1:7" ht="13.5" thickBot="1" x14ac:dyDescent="0.25">
      <c r="A61" s="288" t="s">
        <v>72</v>
      </c>
      <c r="B61" s="300">
        <v>0.21</v>
      </c>
      <c r="C61" s="289">
        <v>0</v>
      </c>
      <c r="D61" s="301">
        <f t="shared" si="9"/>
        <v>0</v>
      </c>
      <c r="E61" s="290">
        <f t="shared" si="10"/>
        <v>0</v>
      </c>
      <c r="F61" s="116"/>
    </row>
    <row r="62" spans="1:7" ht="13.5" thickBot="1" x14ac:dyDescent="0.25">
      <c r="D62" s="110"/>
      <c r="E62" s="259"/>
    </row>
    <row r="63" spans="1:7" ht="16.5" thickBot="1" x14ac:dyDescent="0.3">
      <c r="A63" s="119"/>
      <c r="B63" s="120"/>
      <c r="C63" s="183" t="s">
        <v>128</v>
      </c>
      <c r="D63" s="121"/>
      <c r="E63" s="247">
        <f>E19+E21+E27+E34+E38+E50</f>
        <v>3181212.3</v>
      </c>
      <c r="F63" s="116"/>
    </row>
    <row r="64" spans="1:7" ht="15" x14ac:dyDescent="0.25">
      <c r="B64" s="122"/>
      <c r="C64" s="123"/>
      <c r="D64" s="124"/>
      <c r="E64" s="124"/>
    </row>
    <row r="65" spans="1:6" ht="15" x14ac:dyDescent="0.25">
      <c r="B65" s="122"/>
      <c r="C65" s="123"/>
      <c r="D65" s="124"/>
      <c r="E65" s="184"/>
      <c r="F65" s="116"/>
    </row>
    <row r="66" spans="1:6" ht="15" x14ac:dyDescent="0.25">
      <c r="A66" s="111" t="s">
        <v>140</v>
      </c>
      <c r="B66" s="122"/>
      <c r="C66" s="180"/>
      <c r="D66" s="181" t="s">
        <v>39</v>
      </c>
      <c r="E66" s="184"/>
      <c r="F66" s="116"/>
    </row>
    <row r="67" spans="1:6" ht="14.25" x14ac:dyDescent="0.2">
      <c r="A67" s="118" t="s">
        <v>136</v>
      </c>
      <c r="D67" s="182">
        <v>4000000</v>
      </c>
      <c r="E67" t="s">
        <v>151</v>
      </c>
    </row>
    <row r="68" spans="1:6" ht="14.25" hidden="1" x14ac:dyDescent="0.2">
      <c r="A68" s="122" t="s">
        <v>137</v>
      </c>
      <c r="D68" s="110">
        <f>D67-E63</f>
        <v>818787.70000000019</v>
      </c>
    </row>
    <row r="69" spans="1:6" s="118" customFormat="1" ht="14.25" hidden="1" x14ac:dyDescent="0.2">
      <c r="A69" s="118" t="s">
        <v>139</v>
      </c>
      <c r="C69" s="182"/>
      <c r="D69" s="182">
        <v>0</v>
      </c>
    </row>
    <row r="70" spans="1:6" ht="14.25" hidden="1" x14ac:dyDescent="0.2">
      <c r="A70" s="122" t="s">
        <v>138</v>
      </c>
      <c r="D70" s="110" t="e">
        <f>D69-#REF!</f>
        <v>#REF!</v>
      </c>
    </row>
    <row r="71" spans="1:6" s="174" customFormat="1" ht="15.75" x14ac:dyDescent="0.25">
      <c r="A71" s="174" t="s">
        <v>130</v>
      </c>
      <c r="D71" s="185">
        <f>D67+D69</f>
        <v>4000000</v>
      </c>
    </row>
    <row r="72" spans="1:6" s="174" customFormat="1" ht="15.75" x14ac:dyDescent="0.25">
      <c r="A72" s="174" t="s">
        <v>129</v>
      </c>
      <c r="D72" s="185">
        <f>E63</f>
        <v>3181212.3</v>
      </c>
    </row>
    <row r="73" spans="1:6" s="174" customFormat="1" ht="23.25" x14ac:dyDescent="0.35">
      <c r="A73" s="174" t="s">
        <v>131</v>
      </c>
      <c r="D73" s="191">
        <f>D71-D72</f>
        <v>818787.70000000019</v>
      </c>
    </row>
    <row r="75" spans="1:6" x14ac:dyDescent="0.2">
      <c r="A75" s="230" t="s">
        <v>171</v>
      </c>
    </row>
    <row r="76" spans="1:6" ht="68.45" customHeight="1" x14ac:dyDescent="0.2">
      <c r="A76" s="67" t="s">
        <v>214</v>
      </c>
    </row>
    <row r="77" spans="1:6" ht="90" x14ac:dyDescent="0.2">
      <c r="A77" s="67" t="s">
        <v>213</v>
      </c>
    </row>
  </sheetData>
  <mergeCells count="17">
    <mergeCell ref="A27:B27"/>
    <mergeCell ref="A34:B34"/>
    <mergeCell ref="A19:B19"/>
    <mergeCell ref="A21:B21"/>
    <mergeCell ref="A45:A46"/>
    <mergeCell ref="C54:C55"/>
    <mergeCell ref="D54:D55"/>
    <mergeCell ref="D45:D46"/>
    <mergeCell ref="E54:E55"/>
    <mergeCell ref="A54:A55"/>
    <mergeCell ref="D47:D48"/>
    <mergeCell ref="C47:C48"/>
    <mergeCell ref="A50:B50"/>
    <mergeCell ref="A47:A48"/>
    <mergeCell ref="E45:E46"/>
    <mergeCell ref="C45:C46"/>
    <mergeCell ref="E47:E48"/>
  </mergeCells>
  <conditionalFormatting sqref="D68">
    <cfRule type="cellIs" dxfId="5" priority="4" operator="lessThan">
      <formula>0</formula>
    </cfRule>
  </conditionalFormatting>
  <conditionalFormatting sqref="D70">
    <cfRule type="cellIs" dxfId="4" priority="3" operator="lessThan">
      <formula>0</formula>
    </cfRule>
  </conditionalFormatting>
  <conditionalFormatting sqref="D73">
    <cfRule type="cellIs" dxfId="3" priority="2" operator="lessThan">
      <formula>0</formula>
    </cfRule>
  </conditionalFormatting>
  <conditionalFormatting sqref="B14">
    <cfRule type="cellIs" dxfId="2" priority="1" stopIfTrue="1" operator="notBetween">
      <formula xml:space="preserve"> 1500</formula>
      <formula xml:space="preserve"> 3250</formula>
    </cfRule>
  </conditionalFormatting>
  <pageMargins left="0.23622047244094491" right="0.19685039370078741" top="0.74803149606299213" bottom="0.74803149606299213" header="0.31496062992125984" footer="0.31496062992125984"/>
  <pageSetup paperSize="9" scale="44"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70" zoomScaleNormal="70" zoomScaleSheetLayoutView="100" workbookViewId="0">
      <selection activeCell="J17" sqref="J17"/>
    </sheetView>
  </sheetViews>
  <sheetFormatPr baseColWidth="10" defaultRowHeight="12.75" x14ac:dyDescent="0.2"/>
  <cols>
    <col min="1" max="2" width="2.42578125" style="76" customWidth="1"/>
    <col min="3" max="3" width="66.42578125" style="76" customWidth="1"/>
    <col min="4" max="4" width="9.85546875" style="76" customWidth="1"/>
    <col min="5" max="5" width="18.7109375" style="76" customWidth="1"/>
    <col min="6" max="6" width="24.42578125" style="76" customWidth="1"/>
    <col min="7" max="7" width="17.42578125" style="76" customWidth="1"/>
    <col min="8" max="8" width="23.7109375" style="76" customWidth="1"/>
    <col min="9" max="9" width="22.28515625" style="76" customWidth="1"/>
    <col min="10" max="10" width="25.7109375" style="76" customWidth="1"/>
    <col min="11" max="11" width="14.140625" style="76" customWidth="1"/>
    <col min="12" max="12" width="15" style="76" customWidth="1"/>
    <col min="13" max="13" width="10.28515625" style="76" customWidth="1"/>
    <col min="14" max="14" width="13.140625" style="76" customWidth="1"/>
    <col min="15" max="16" width="11.42578125" style="76"/>
    <col min="17" max="17" width="10.28515625" style="76" customWidth="1"/>
    <col min="18" max="18" width="13.140625" style="76" customWidth="1"/>
    <col min="19" max="19" width="18.7109375" style="76" customWidth="1"/>
    <col min="20" max="256" width="11.42578125" style="76"/>
    <col min="257" max="258" width="2.42578125" style="76" customWidth="1"/>
    <col min="259" max="259" width="53.140625" style="76" customWidth="1"/>
    <col min="260" max="260" width="9.85546875" style="76" customWidth="1"/>
    <col min="261" max="262" width="18.7109375" style="76" customWidth="1"/>
    <col min="263" max="263" width="2.42578125" style="76" customWidth="1"/>
    <col min="264" max="264" width="23.7109375" style="76" customWidth="1"/>
    <col min="265" max="265" width="19.7109375" style="76" customWidth="1"/>
    <col min="266" max="266" width="13.140625" style="76" customWidth="1"/>
    <col min="267" max="267" width="14.140625" style="76" customWidth="1"/>
    <col min="268" max="268" width="15" style="76" customWidth="1"/>
    <col min="269" max="269" width="10.28515625" style="76" customWidth="1"/>
    <col min="270" max="270" width="13.140625" style="76" customWidth="1"/>
    <col min="271" max="272" width="11.42578125" style="76"/>
    <col min="273" max="273" width="10.28515625" style="76" customWidth="1"/>
    <col min="274" max="274" width="13.140625" style="76" customWidth="1"/>
    <col min="275" max="275" width="18.7109375" style="76" customWidth="1"/>
    <col min="276" max="512" width="11.42578125" style="76"/>
    <col min="513" max="514" width="2.42578125" style="76" customWidth="1"/>
    <col min="515" max="515" width="53.140625" style="76" customWidth="1"/>
    <col min="516" max="516" width="9.85546875" style="76" customWidth="1"/>
    <col min="517" max="518" width="18.7109375" style="76" customWidth="1"/>
    <col min="519" max="519" width="2.42578125" style="76" customWidth="1"/>
    <col min="520" max="520" width="23.7109375" style="76" customWidth="1"/>
    <col min="521" max="521" width="19.7109375" style="76" customWidth="1"/>
    <col min="522" max="522" width="13.140625" style="76" customWidth="1"/>
    <col min="523" max="523" width="14.140625" style="76" customWidth="1"/>
    <col min="524" max="524" width="15" style="76" customWidth="1"/>
    <col min="525" max="525" width="10.28515625" style="76" customWidth="1"/>
    <col min="526" max="526" width="13.140625" style="76" customWidth="1"/>
    <col min="527" max="528" width="11.42578125" style="76"/>
    <col min="529" max="529" width="10.28515625" style="76" customWidth="1"/>
    <col min="530" max="530" width="13.140625" style="76" customWidth="1"/>
    <col min="531" max="531" width="18.7109375" style="76" customWidth="1"/>
    <col min="532" max="768" width="11.42578125" style="76"/>
    <col min="769" max="770" width="2.42578125" style="76" customWidth="1"/>
    <col min="771" max="771" width="53.140625" style="76" customWidth="1"/>
    <col min="772" max="772" width="9.85546875" style="76" customWidth="1"/>
    <col min="773" max="774" width="18.7109375" style="76" customWidth="1"/>
    <col min="775" max="775" width="2.42578125" style="76" customWidth="1"/>
    <col min="776" max="776" width="23.7109375" style="76" customWidth="1"/>
    <col min="777" max="777" width="19.7109375" style="76" customWidth="1"/>
    <col min="778" max="778" width="13.140625" style="76" customWidth="1"/>
    <col min="779" max="779" width="14.140625" style="76" customWidth="1"/>
    <col min="780" max="780" width="15" style="76" customWidth="1"/>
    <col min="781" max="781" width="10.28515625" style="76" customWidth="1"/>
    <col min="782" max="782" width="13.140625" style="76" customWidth="1"/>
    <col min="783" max="784" width="11.42578125" style="76"/>
    <col min="785" max="785" width="10.28515625" style="76" customWidth="1"/>
    <col min="786" max="786" width="13.140625" style="76" customWidth="1"/>
    <col min="787" max="787" width="18.7109375" style="76" customWidth="1"/>
    <col min="788" max="1024" width="11.42578125" style="76"/>
    <col min="1025" max="1026" width="2.42578125" style="76" customWidth="1"/>
    <col min="1027" max="1027" width="53.140625" style="76" customWidth="1"/>
    <col min="1028" max="1028" width="9.85546875" style="76" customWidth="1"/>
    <col min="1029" max="1030" width="18.7109375" style="76" customWidth="1"/>
    <col min="1031" max="1031" width="2.42578125" style="76" customWidth="1"/>
    <col min="1032" max="1032" width="23.7109375" style="76" customWidth="1"/>
    <col min="1033" max="1033" width="19.7109375" style="76" customWidth="1"/>
    <col min="1034" max="1034" width="13.140625" style="76" customWidth="1"/>
    <col min="1035" max="1035" width="14.140625" style="76" customWidth="1"/>
    <col min="1036" max="1036" width="15" style="76" customWidth="1"/>
    <col min="1037" max="1037" width="10.28515625" style="76" customWidth="1"/>
    <col min="1038" max="1038" width="13.140625" style="76" customWidth="1"/>
    <col min="1039" max="1040" width="11.42578125" style="76"/>
    <col min="1041" max="1041" width="10.28515625" style="76" customWidth="1"/>
    <col min="1042" max="1042" width="13.140625" style="76" customWidth="1"/>
    <col min="1043" max="1043" width="18.7109375" style="76" customWidth="1"/>
    <col min="1044" max="1280" width="11.42578125" style="76"/>
    <col min="1281" max="1282" width="2.42578125" style="76" customWidth="1"/>
    <col min="1283" max="1283" width="53.140625" style="76" customWidth="1"/>
    <col min="1284" max="1284" width="9.85546875" style="76" customWidth="1"/>
    <col min="1285" max="1286" width="18.7109375" style="76" customWidth="1"/>
    <col min="1287" max="1287" width="2.42578125" style="76" customWidth="1"/>
    <col min="1288" max="1288" width="23.7109375" style="76" customWidth="1"/>
    <col min="1289" max="1289" width="19.7109375" style="76" customWidth="1"/>
    <col min="1290" max="1290" width="13.140625" style="76" customWidth="1"/>
    <col min="1291" max="1291" width="14.140625" style="76" customWidth="1"/>
    <col min="1292" max="1292" width="15" style="76" customWidth="1"/>
    <col min="1293" max="1293" width="10.28515625" style="76" customWidth="1"/>
    <col min="1294" max="1294" width="13.140625" style="76" customWidth="1"/>
    <col min="1295" max="1296" width="11.42578125" style="76"/>
    <col min="1297" max="1297" width="10.28515625" style="76" customWidth="1"/>
    <col min="1298" max="1298" width="13.140625" style="76" customWidth="1"/>
    <col min="1299" max="1299" width="18.7109375" style="76" customWidth="1"/>
    <col min="1300" max="1536" width="11.42578125" style="76"/>
    <col min="1537" max="1538" width="2.42578125" style="76" customWidth="1"/>
    <col min="1539" max="1539" width="53.140625" style="76" customWidth="1"/>
    <col min="1540" max="1540" width="9.85546875" style="76" customWidth="1"/>
    <col min="1541" max="1542" width="18.7109375" style="76" customWidth="1"/>
    <col min="1543" max="1543" width="2.42578125" style="76" customWidth="1"/>
    <col min="1544" max="1544" width="23.7109375" style="76" customWidth="1"/>
    <col min="1545" max="1545" width="19.7109375" style="76" customWidth="1"/>
    <col min="1546" max="1546" width="13.140625" style="76" customWidth="1"/>
    <col min="1547" max="1547" width="14.140625" style="76" customWidth="1"/>
    <col min="1548" max="1548" width="15" style="76" customWidth="1"/>
    <col min="1549" max="1549" width="10.28515625" style="76" customWidth="1"/>
    <col min="1550" max="1550" width="13.140625" style="76" customWidth="1"/>
    <col min="1551" max="1552" width="11.42578125" style="76"/>
    <col min="1553" max="1553" width="10.28515625" style="76" customWidth="1"/>
    <col min="1554" max="1554" width="13.140625" style="76" customWidth="1"/>
    <col min="1555" max="1555" width="18.7109375" style="76" customWidth="1"/>
    <col min="1556" max="1792" width="11.42578125" style="76"/>
    <col min="1793" max="1794" width="2.42578125" style="76" customWidth="1"/>
    <col min="1795" max="1795" width="53.140625" style="76" customWidth="1"/>
    <col min="1796" max="1796" width="9.85546875" style="76" customWidth="1"/>
    <col min="1797" max="1798" width="18.7109375" style="76" customWidth="1"/>
    <col min="1799" max="1799" width="2.42578125" style="76" customWidth="1"/>
    <col min="1800" max="1800" width="23.7109375" style="76" customWidth="1"/>
    <col min="1801" max="1801" width="19.7109375" style="76" customWidth="1"/>
    <col min="1802" max="1802" width="13.140625" style="76" customWidth="1"/>
    <col min="1803" max="1803" width="14.140625" style="76" customWidth="1"/>
    <col min="1804" max="1804" width="15" style="76" customWidth="1"/>
    <col min="1805" max="1805" width="10.28515625" style="76" customWidth="1"/>
    <col min="1806" max="1806" width="13.140625" style="76" customWidth="1"/>
    <col min="1807" max="1808" width="11.42578125" style="76"/>
    <col min="1809" max="1809" width="10.28515625" style="76" customWidth="1"/>
    <col min="1810" max="1810" width="13.140625" style="76" customWidth="1"/>
    <col min="1811" max="1811" width="18.7109375" style="76" customWidth="1"/>
    <col min="1812" max="2048" width="11.42578125" style="76"/>
    <col min="2049" max="2050" width="2.42578125" style="76" customWidth="1"/>
    <col min="2051" max="2051" width="53.140625" style="76" customWidth="1"/>
    <col min="2052" max="2052" width="9.85546875" style="76" customWidth="1"/>
    <col min="2053" max="2054" width="18.7109375" style="76" customWidth="1"/>
    <col min="2055" max="2055" width="2.42578125" style="76" customWidth="1"/>
    <col min="2056" max="2056" width="23.7109375" style="76" customWidth="1"/>
    <col min="2057" max="2057" width="19.7109375" style="76" customWidth="1"/>
    <col min="2058" max="2058" width="13.140625" style="76" customWidth="1"/>
    <col min="2059" max="2059" width="14.140625" style="76" customWidth="1"/>
    <col min="2060" max="2060" width="15" style="76" customWidth="1"/>
    <col min="2061" max="2061" width="10.28515625" style="76" customWidth="1"/>
    <col min="2062" max="2062" width="13.140625" style="76" customWidth="1"/>
    <col min="2063" max="2064" width="11.42578125" style="76"/>
    <col min="2065" max="2065" width="10.28515625" style="76" customWidth="1"/>
    <col min="2066" max="2066" width="13.140625" style="76" customWidth="1"/>
    <col min="2067" max="2067" width="18.7109375" style="76" customWidth="1"/>
    <col min="2068" max="2304" width="11.42578125" style="76"/>
    <col min="2305" max="2306" width="2.42578125" style="76" customWidth="1"/>
    <col min="2307" max="2307" width="53.140625" style="76" customWidth="1"/>
    <col min="2308" max="2308" width="9.85546875" style="76" customWidth="1"/>
    <col min="2309" max="2310" width="18.7109375" style="76" customWidth="1"/>
    <col min="2311" max="2311" width="2.42578125" style="76" customWidth="1"/>
    <col min="2312" max="2312" width="23.7109375" style="76" customWidth="1"/>
    <col min="2313" max="2313" width="19.7109375" style="76" customWidth="1"/>
    <col min="2314" max="2314" width="13.140625" style="76" customWidth="1"/>
    <col min="2315" max="2315" width="14.140625" style="76" customWidth="1"/>
    <col min="2316" max="2316" width="15" style="76" customWidth="1"/>
    <col min="2317" max="2317" width="10.28515625" style="76" customWidth="1"/>
    <col min="2318" max="2318" width="13.140625" style="76" customWidth="1"/>
    <col min="2319" max="2320" width="11.42578125" style="76"/>
    <col min="2321" max="2321" width="10.28515625" style="76" customWidth="1"/>
    <col min="2322" max="2322" width="13.140625" style="76" customWidth="1"/>
    <col min="2323" max="2323" width="18.7109375" style="76" customWidth="1"/>
    <col min="2324" max="2560" width="11.42578125" style="76"/>
    <col min="2561" max="2562" width="2.42578125" style="76" customWidth="1"/>
    <col min="2563" max="2563" width="53.140625" style="76" customWidth="1"/>
    <col min="2564" max="2564" width="9.85546875" style="76" customWidth="1"/>
    <col min="2565" max="2566" width="18.7109375" style="76" customWidth="1"/>
    <col min="2567" max="2567" width="2.42578125" style="76" customWidth="1"/>
    <col min="2568" max="2568" width="23.7109375" style="76" customWidth="1"/>
    <col min="2569" max="2569" width="19.7109375" style="76" customWidth="1"/>
    <col min="2570" max="2570" width="13.140625" style="76" customWidth="1"/>
    <col min="2571" max="2571" width="14.140625" style="76" customWidth="1"/>
    <col min="2572" max="2572" width="15" style="76" customWidth="1"/>
    <col min="2573" max="2573" width="10.28515625" style="76" customWidth="1"/>
    <col min="2574" max="2574" width="13.140625" style="76" customWidth="1"/>
    <col min="2575" max="2576" width="11.42578125" style="76"/>
    <col min="2577" max="2577" width="10.28515625" style="76" customWidth="1"/>
    <col min="2578" max="2578" width="13.140625" style="76" customWidth="1"/>
    <col min="2579" max="2579" width="18.7109375" style="76" customWidth="1"/>
    <col min="2580" max="2816" width="11.42578125" style="76"/>
    <col min="2817" max="2818" width="2.42578125" style="76" customWidth="1"/>
    <col min="2819" max="2819" width="53.140625" style="76" customWidth="1"/>
    <col min="2820" max="2820" width="9.85546875" style="76" customWidth="1"/>
    <col min="2821" max="2822" width="18.7109375" style="76" customWidth="1"/>
    <col min="2823" max="2823" width="2.42578125" style="76" customWidth="1"/>
    <col min="2824" max="2824" width="23.7109375" style="76" customWidth="1"/>
    <col min="2825" max="2825" width="19.7109375" style="76" customWidth="1"/>
    <col min="2826" max="2826" width="13.140625" style="76" customWidth="1"/>
    <col min="2827" max="2827" width="14.140625" style="76" customWidth="1"/>
    <col min="2828" max="2828" width="15" style="76" customWidth="1"/>
    <col min="2829" max="2829" width="10.28515625" style="76" customWidth="1"/>
    <col min="2830" max="2830" width="13.140625" style="76" customWidth="1"/>
    <col min="2831" max="2832" width="11.42578125" style="76"/>
    <col min="2833" max="2833" width="10.28515625" style="76" customWidth="1"/>
    <col min="2834" max="2834" width="13.140625" style="76" customWidth="1"/>
    <col min="2835" max="2835" width="18.7109375" style="76" customWidth="1"/>
    <col min="2836" max="3072" width="11.42578125" style="76"/>
    <col min="3073" max="3074" width="2.42578125" style="76" customWidth="1"/>
    <col min="3075" max="3075" width="53.140625" style="76" customWidth="1"/>
    <col min="3076" max="3076" width="9.85546875" style="76" customWidth="1"/>
    <col min="3077" max="3078" width="18.7109375" style="76" customWidth="1"/>
    <col min="3079" max="3079" width="2.42578125" style="76" customWidth="1"/>
    <col min="3080" max="3080" width="23.7109375" style="76" customWidth="1"/>
    <col min="3081" max="3081" width="19.7109375" style="76" customWidth="1"/>
    <col min="3082" max="3082" width="13.140625" style="76" customWidth="1"/>
    <col min="3083" max="3083" width="14.140625" style="76" customWidth="1"/>
    <col min="3084" max="3084" width="15" style="76" customWidth="1"/>
    <col min="3085" max="3085" width="10.28515625" style="76" customWidth="1"/>
    <col min="3086" max="3086" width="13.140625" style="76" customWidth="1"/>
    <col min="3087" max="3088" width="11.42578125" style="76"/>
    <col min="3089" max="3089" width="10.28515625" style="76" customWidth="1"/>
    <col min="3090" max="3090" width="13.140625" style="76" customWidth="1"/>
    <col min="3091" max="3091" width="18.7109375" style="76" customWidth="1"/>
    <col min="3092" max="3328" width="11.42578125" style="76"/>
    <col min="3329" max="3330" width="2.42578125" style="76" customWidth="1"/>
    <col min="3331" max="3331" width="53.140625" style="76" customWidth="1"/>
    <col min="3332" max="3332" width="9.85546875" style="76" customWidth="1"/>
    <col min="3333" max="3334" width="18.7109375" style="76" customWidth="1"/>
    <col min="3335" max="3335" width="2.42578125" style="76" customWidth="1"/>
    <col min="3336" max="3336" width="23.7109375" style="76" customWidth="1"/>
    <col min="3337" max="3337" width="19.7109375" style="76" customWidth="1"/>
    <col min="3338" max="3338" width="13.140625" style="76" customWidth="1"/>
    <col min="3339" max="3339" width="14.140625" style="76" customWidth="1"/>
    <col min="3340" max="3340" width="15" style="76" customWidth="1"/>
    <col min="3341" max="3341" width="10.28515625" style="76" customWidth="1"/>
    <col min="3342" max="3342" width="13.140625" style="76" customWidth="1"/>
    <col min="3343" max="3344" width="11.42578125" style="76"/>
    <col min="3345" max="3345" width="10.28515625" style="76" customWidth="1"/>
    <col min="3346" max="3346" width="13.140625" style="76" customWidth="1"/>
    <col min="3347" max="3347" width="18.7109375" style="76" customWidth="1"/>
    <col min="3348" max="3584" width="11.42578125" style="76"/>
    <col min="3585" max="3586" width="2.42578125" style="76" customWidth="1"/>
    <col min="3587" max="3587" width="53.140625" style="76" customWidth="1"/>
    <col min="3588" max="3588" width="9.85546875" style="76" customWidth="1"/>
    <col min="3589" max="3590" width="18.7109375" style="76" customWidth="1"/>
    <col min="3591" max="3591" width="2.42578125" style="76" customWidth="1"/>
    <col min="3592" max="3592" width="23.7109375" style="76" customWidth="1"/>
    <col min="3593" max="3593" width="19.7109375" style="76" customWidth="1"/>
    <col min="3594" max="3594" width="13.140625" style="76" customWidth="1"/>
    <col min="3595" max="3595" width="14.140625" style="76" customWidth="1"/>
    <col min="3596" max="3596" width="15" style="76" customWidth="1"/>
    <col min="3597" max="3597" width="10.28515625" style="76" customWidth="1"/>
    <col min="3598" max="3598" width="13.140625" style="76" customWidth="1"/>
    <col min="3599" max="3600" width="11.42578125" style="76"/>
    <col min="3601" max="3601" width="10.28515625" style="76" customWidth="1"/>
    <col min="3602" max="3602" width="13.140625" style="76" customWidth="1"/>
    <col min="3603" max="3603" width="18.7109375" style="76" customWidth="1"/>
    <col min="3604" max="3840" width="11.42578125" style="76"/>
    <col min="3841" max="3842" width="2.42578125" style="76" customWidth="1"/>
    <col min="3843" max="3843" width="53.140625" style="76" customWidth="1"/>
    <col min="3844" max="3844" width="9.85546875" style="76" customWidth="1"/>
    <col min="3845" max="3846" width="18.7109375" style="76" customWidth="1"/>
    <col min="3847" max="3847" width="2.42578125" style="76" customWidth="1"/>
    <col min="3848" max="3848" width="23.7109375" style="76" customWidth="1"/>
    <col min="3849" max="3849" width="19.7109375" style="76" customWidth="1"/>
    <col min="3850" max="3850" width="13.140625" style="76" customWidth="1"/>
    <col min="3851" max="3851" width="14.140625" style="76" customWidth="1"/>
    <col min="3852" max="3852" width="15" style="76" customWidth="1"/>
    <col min="3853" max="3853" width="10.28515625" style="76" customWidth="1"/>
    <col min="3854" max="3854" width="13.140625" style="76" customWidth="1"/>
    <col min="3855" max="3856" width="11.42578125" style="76"/>
    <col min="3857" max="3857" width="10.28515625" style="76" customWidth="1"/>
    <col min="3858" max="3858" width="13.140625" style="76" customWidth="1"/>
    <col min="3859" max="3859" width="18.7109375" style="76" customWidth="1"/>
    <col min="3860" max="4096" width="11.42578125" style="76"/>
    <col min="4097" max="4098" width="2.42578125" style="76" customWidth="1"/>
    <col min="4099" max="4099" width="53.140625" style="76" customWidth="1"/>
    <col min="4100" max="4100" width="9.85546875" style="76" customWidth="1"/>
    <col min="4101" max="4102" width="18.7109375" style="76" customWidth="1"/>
    <col min="4103" max="4103" width="2.42578125" style="76" customWidth="1"/>
    <col min="4104" max="4104" width="23.7109375" style="76" customWidth="1"/>
    <col min="4105" max="4105" width="19.7109375" style="76" customWidth="1"/>
    <col min="4106" max="4106" width="13.140625" style="76" customWidth="1"/>
    <col min="4107" max="4107" width="14.140625" style="76" customWidth="1"/>
    <col min="4108" max="4108" width="15" style="76" customWidth="1"/>
    <col min="4109" max="4109" width="10.28515625" style="76" customWidth="1"/>
    <col min="4110" max="4110" width="13.140625" style="76" customWidth="1"/>
    <col min="4111" max="4112" width="11.42578125" style="76"/>
    <col min="4113" max="4113" width="10.28515625" style="76" customWidth="1"/>
    <col min="4114" max="4114" width="13.140625" style="76" customWidth="1"/>
    <col min="4115" max="4115" width="18.7109375" style="76" customWidth="1"/>
    <col min="4116" max="4352" width="11.42578125" style="76"/>
    <col min="4353" max="4354" width="2.42578125" style="76" customWidth="1"/>
    <col min="4355" max="4355" width="53.140625" style="76" customWidth="1"/>
    <col min="4356" max="4356" width="9.85546875" style="76" customWidth="1"/>
    <col min="4357" max="4358" width="18.7109375" style="76" customWidth="1"/>
    <col min="4359" max="4359" width="2.42578125" style="76" customWidth="1"/>
    <col min="4360" max="4360" width="23.7109375" style="76" customWidth="1"/>
    <col min="4361" max="4361" width="19.7109375" style="76" customWidth="1"/>
    <col min="4362" max="4362" width="13.140625" style="76" customWidth="1"/>
    <col min="4363" max="4363" width="14.140625" style="76" customWidth="1"/>
    <col min="4364" max="4364" width="15" style="76" customWidth="1"/>
    <col min="4365" max="4365" width="10.28515625" style="76" customWidth="1"/>
    <col min="4366" max="4366" width="13.140625" style="76" customWidth="1"/>
    <col min="4367" max="4368" width="11.42578125" style="76"/>
    <col min="4369" max="4369" width="10.28515625" style="76" customWidth="1"/>
    <col min="4370" max="4370" width="13.140625" style="76" customWidth="1"/>
    <col min="4371" max="4371" width="18.7109375" style="76" customWidth="1"/>
    <col min="4372" max="4608" width="11.42578125" style="76"/>
    <col min="4609" max="4610" width="2.42578125" style="76" customWidth="1"/>
    <col min="4611" max="4611" width="53.140625" style="76" customWidth="1"/>
    <col min="4612" max="4612" width="9.85546875" style="76" customWidth="1"/>
    <col min="4613" max="4614" width="18.7109375" style="76" customWidth="1"/>
    <col min="4615" max="4615" width="2.42578125" style="76" customWidth="1"/>
    <col min="4616" max="4616" width="23.7109375" style="76" customWidth="1"/>
    <col min="4617" max="4617" width="19.7109375" style="76" customWidth="1"/>
    <col min="4618" max="4618" width="13.140625" style="76" customWidth="1"/>
    <col min="4619" max="4619" width="14.140625" style="76" customWidth="1"/>
    <col min="4620" max="4620" width="15" style="76" customWidth="1"/>
    <col min="4621" max="4621" width="10.28515625" style="76" customWidth="1"/>
    <col min="4622" max="4622" width="13.140625" style="76" customWidth="1"/>
    <col min="4623" max="4624" width="11.42578125" style="76"/>
    <col min="4625" max="4625" width="10.28515625" style="76" customWidth="1"/>
    <col min="4626" max="4626" width="13.140625" style="76" customWidth="1"/>
    <col min="4627" max="4627" width="18.7109375" style="76" customWidth="1"/>
    <col min="4628" max="4864" width="11.42578125" style="76"/>
    <col min="4865" max="4866" width="2.42578125" style="76" customWidth="1"/>
    <col min="4867" max="4867" width="53.140625" style="76" customWidth="1"/>
    <col min="4868" max="4868" width="9.85546875" style="76" customWidth="1"/>
    <col min="4869" max="4870" width="18.7109375" style="76" customWidth="1"/>
    <col min="4871" max="4871" width="2.42578125" style="76" customWidth="1"/>
    <col min="4872" max="4872" width="23.7109375" style="76" customWidth="1"/>
    <col min="4873" max="4873" width="19.7109375" style="76" customWidth="1"/>
    <col min="4874" max="4874" width="13.140625" style="76" customWidth="1"/>
    <col min="4875" max="4875" width="14.140625" style="76" customWidth="1"/>
    <col min="4876" max="4876" width="15" style="76" customWidth="1"/>
    <col min="4877" max="4877" width="10.28515625" style="76" customWidth="1"/>
    <col min="4878" max="4878" width="13.140625" style="76" customWidth="1"/>
    <col min="4879" max="4880" width="11.42578125" style="76"/>
    <col min="4881" max="4881" width="10.28515625" style="76" customWidth="1"/>
    <col min="4882" max="4882" width="13.140625" style="76" customWidth="1"/>
    <col min="4883" max="4883" width="18.7109375" style="76" customWidth="1"/>
    <col min="4884" max="5120" width="11.42578125" style="76"/>
    <col min="5121" max="5122" width="2.42578125" style="76" customWidth="1"/>
    <col min="5123" max="5123" width="53.140625" style="76" customWidth="1"/>
    <col min="5124" max="5124" width="9.85546875" style="76" customWidth="1"/>
    <col min="5125" max="5126" width="18.7109375" style="76" customWidth="1"/>
    <col min="5127" max="5127" width="2.42578125" style="76" customWidth="1"/>
    <col min="5128" max="5128" width="23.7109375" style="76" customWidth="1"/>
    <col min="5129" max="5129" width="19.7109375" style="76" customWidth="1"/>
    <col min="5130" max="5130" width="13.140625" style="76" customWidth="1"/>
    <col min="5131" max="5131" width="14.140625" style="76" customWidth="1"/>
    <col min="5132" max="5132" width="15" style="76" customWidth="1"/>
    <col min="5133" max="5133" width="10.28515625" style="76" customWidth="1"/>
    <col min="5134" max="5134" width="13.140625" style="76" customWidth="1"/>
    <col min="5135" max="5136" width="11.42578125" style="76"/>
    <col min="5137" max="5137" width="10.28515625" style="76" customWidth="1"/>
    <col min="5138" max="5138" width="13.140625" style="76" customWidth="1"/>
    <col min="5139" max="5139" width="18.7109375" style="76" customWidth="1"/>
    <col min="5140" max="5376" width="11.42578125" style="76"/>
    <col min="5377" max="5378" width="2.42578125" style="76" customWidth="1"/>
    <col min="5379" max="5379" width="53.140625" style="76" customWidth="1"/>
    <col min="5380" max="5380" width="9.85546875" style="76" customWidth="1"/>
    <col min="5381" max="5382" width="18.7109375" style="76" customWidth="1"/>
    <col min="5383" max="5383" width="2.42578125" style="76" customWidth="1"/>
    <col min="5384" max="5384" width="23.7109375" style="76" customWidth="1"/>
    <col min="5385" max="5385" width="19.7109375" style="76" customWidth="1"/>
    <col min="5386" max="5386" width="13.140625" style="76" customWidth="1"/>
    <col min="5387" max="5387" width="14.140625" style="76" customWidth="1"/>
    <col min="5388" max="5388" width="15" style="76" customWidth="1"/>
    <col min="5389" max="5389" width="10.28515625" style="76" customWidth="1"/>
    <col min="5390" max="5390" width="13.140625" style="76" customWidth="1"/>
    <col min="5391" max="5392" width="11.42578125" style="76"/>
    <col min="5393" max="5393" width="10.28515625" style="76" customWidth="1"/>
    <col min="5394" max="5394" width="13.140625" style="76" customWidth="1"/>
    <col min="5395" max="5395" width="18.7109375" style="76" customWidth="1"/>
    <col min="5396" max="5632" width="11.42578125" style="76"/>
    <col min="5633" max="5634" width="2.42578125" style="76" customWidth="1"/>
    <col min="5635" max="5635" width="53.140625" style="76" customWidth="1"/>
    <col min="5636" max="5636" width="9.85546875" style="76" customWidth="1"/>
    <col min="5637" max="5638" width="18.7109375" style="76" customWidth="1"/>
    <col min="5639" max="5639" width="2.42578125" style="76" customWidth="1"/>
    <col min="5640" max="5640" width="23.7109375" style="76" customWidth="1"/>
    <col min="5641" max="5641" width="19.7109375" style="76" customWidth="1"/>
    <col min="5642" max="5642" width="13.140625" style="76" customWidth="1"/>
    <col min="5643" max="5643" width="14.140625" style="76" customWidth="1"/>
    <col min="5644" max="5644" width="15" style="76" customWidth="1"/>
    <col min="5645" max="5645" width="10.28515625" style="76" customWidth="1"/>
    <col min="5646" max="5646" width="13.140625" style="76" customWidth="1"/>
    <col min="5647" max="5648" width="11.42578125" style="76"/>
    <col min="5649" max="5649" width="10.28515625" style="76" customWidth="1"/>
    <col min="5650" max="5650" width="13.140625" style="76" customWidth="1"/>
    <col min="5651" max="5651" width="18.7109375" style="76" customWidth="1"/>
    <col min="5652" max="5888" width="11.42578125" style="76"/>
    <col min="5889" max="5890" width="2.42578125" style="76" customWidth="1"/>
    <col min="5891" max="5891" width="53.140625" style="76" customWidth="1"/>
    <col min="5892" max="5892" width="9.85546875" style="76" customWidth="1"/>
    <col min="5893" max="5894" width="18.7109375" style="76" customWidth="1"/>
    <col min="5895" max="5895" width="2.42578125" style="76" customWidth="1"/>
    <col min="5896" max="5896" width="23.7109375" style="76" customWidth="1"/>
    <col min="5897" max="5897" width="19.7109375" style="76" customWidth="1"/>
    <col min="5898" max="5898" width="13.140625" style="76" customWidth="1"/>
    <col min="5899" max="5899" width="14.140625" style="76" customWidth="1"/>
    <col min="5900" max="5900" width="15" style="76" customWidth="1"/>
    <col min="5901" max="5901" width="10.28515625" style="76" customWidth="1"/>
    <col min="5902" max="5902" width="13.140625" style="76" customWidth="1"/>
    <col min="5903" max="5904" width="11.42578125" style="76"/>
    <col min="5905" max="5905" width="10.28515625" style="76" customWidth="1"/>
    <col min="5906" max="5906" width="13.140625" style="76" customWidth="1"/>
    <col min="5907" max="5907" width="18.7109375" style="76" customWidth="1"/>
    <col min="5908" max="6144" width="11.42578125" style="76"/>
    <col min="6145" max="6146" width="2.42578125" style="76" customWidth="1"/>
    <col min="6147" max="6147" width="53.140625" style="76" customWidth="1"/>
    <col min="6148" max="6148" width="9.85546875" style="76" customWidth="1"/>
    <col min="6149" max="6150" width="18.7109375" style="76" customWidth="1"/>
    <col min="6151" max="6151" width="2.42578125" style="76" customWidth="1"/>
    <col min="6152" max="6152" width="23.7109375" style="76" customWidth="1"/>
    <col min="6153" max="6153" width="19.7109375" style="76" customWidth="1"/>
    <col min="6154" max="6154" width="13.140625" style="76" customWidth="1"/>
    <col min="6155" max="6155" width="14.140625" style="76" customWidth="1"/>
    <col min="6156" max="6156" width="15" style="76" customWidth="1"/>
    <col min="6157" max="6157" width="10.28515625" style="76" customWidth="1"/>
    <col min="6158" max="6158" width="13.140625" style="76" customWidth="1"/>
    <col min="6159" max="6160" width="11.42578125" style="76"/>
    <col min="6161" max="6161" width="10.28515625" style="76" customWidth="1"/>
    <col min="6162" max="6162" width="13.140625" style="76" customWidth="1"/>
    <col min="6163" max="6163" width="18.7109375" style="76" customWidth="1"/>
    <col min="6164" max="6400" width="11.42578125" style="76"/>
    <col min="6401" max="6402" width="2.42578125" style="76" customWidth="1"/>
    <col min="6403" max="6403" width="53.140625" style="76" customWidth="1"/>
    <col min="6404" max="6404" width="9.85546875" style="76" customWidth="1"/>
    <col min="6405" max="6406" width="18.7109375" style="76" customWidth="1"/>
    <col min="6407" max="6407" width="2.42578125" style="76" customWidth="1"/>
    <col min="6408" max="6408" width="23.7109375" style="76" customWidth="1"/>
    <col min="6409" max="6409" width="19.7109375" style="76" customWidth="1"/>
    <col min="6410" max="6410" width="13.140625" style="76" customWidth="1"/>
    <col min="6411" max="6411" width="14.140625" style="76" customWidth="1"/>
    <col min="6412" max="6412" width="15" style="76" customWidth="1"/>
    <col min="6413" max="6413" width="10.28515625" style="76" customWidth="1"/>
    <col min="6414" max="6414" width="13.140625" style="76" customWidth="1"/>
    <col min="6415" max="6416" width="11.42578125" style="76"/>
    <col min="6417" max="6417" width="10.28515625" style="76" customWidth="1"/>
    <col min="6418" max="6418" width="13.140625" style="76" customWidth="1"/>
    <col min="6419" max="6419" width="18.7109375" style="76" customWidth="1"/>
    <col min="6420" max="6656" width="11.42578125" style="76"/>
    <col min="6657" max="6658" width="2.42578125" style="76" customWidth="1"/>
    <col min="6659" max="6659" width="53.140625" style="76" customWidth="1"/>
    <col min="6660" max="6660" width="9.85546875" style="76" customWidth="1"/>
    <col min="6661" max="6662" width="18.7109375" style="76" customWidth="1"/>
    <col min="6663" max="6663" width="2.42578125" style="76" customWidth="1"/>
    <col min="6664" max="6664" width="23.7109375" style="76" customWidth="1"/>
    <col min="6665" max="6665" width="19.7109375" style="76" customWidth="1"/>
    <col min="6666" max="6666" width="13.140625" style="76" customWidth="1"/>
    <col min="6667" max="6667" width="14.140625" style="76" customWidth="1"/>
    <col min="6668" max="6668" width="15" style="76" customWidth="1"/>
    <col min="6669" max="6669" width="10.28515625" style="76" customWidth="1"/>
    <col min="6670" max="6670" width="13.140625" style="76" customWidth="1"/>
    <col min="6671" max="6672" width="11.42578125" style="76"/>
    <col min="6673" max="6673" width="10.28515625" style="76" customWidth="1"/>
    <col min="6674" max="6674" width="13.140625" style="76" customWidth="1"/>
    <col min="6675" max="6675" width="18.7109375" style="76" customWidth="1"/>
    <col min="6676" max="6912" width="11.42578125" style="76"/>
    <col min="6913" max="6914" width="2.42578125" style="76" customWidth="1"/>
    <col min="6915" max="6915" width="53.140625" style="76" customWidth="1"/>
    <col min="6916" max="6916" width="9.85546875" style="76" customWidth="1"/>
    <col min="6917" max="6918" width="18.7109375" style="76" customWidth="1"/>
    <col min="6919" max="6919" width="2.42578125" style="76" customWidth="1"/>
    <col min="6920" max="6920" width="23.7109375" style="76" customWidth="1"/>
    <col min="6921" max="6921" width="19.7109375" style="76" customWidth="1"/>
    <col min="6922" max="6922" width="13.140625" style="76" customWidth="1"/>
    <col min="6923" max="6923" width="14.140625" style="76" customWidth="1"/>
    <col min="6924" max="6924" width="15" style="76" customWidth="1"/>
    <col min="6925" max="6925" width="10.28515625" style="76" customWidth="1"/>
    <col min="6926" max="6926" width="13.140625" style="76" customWidth="1"/>
    <col min="6927" max="6928" width="11.42578125" style="76"/>
    <col min="6929" max="6929" width="10.28515625" style="76" customWidth="1"/>
    <col min="6930" max="6930" width="13.140625" style="76" customWidth="1"/>
    <col min="6931" max="6931" width="18.7109375" style="76" customWidth="1"/>
    <col min="6932" max="7168" width="11.42578125" style="76"/>
    <col min="7169" max="7170" width="2.42578125" style="76" customWidth="1"/>
    <col min="7171" max="7171" width="53.140625" style="76" customWidth="1"/>
    <col min="7172" max="7172" width="9.85546875" style="76" customWidth="1"/>
    <col min="7173" max="7174" width="18.7109375" style="76" customWidth="1"/>
    <col min="7175" max="7175" width="2.42578125" style="76" customWidth="1"/>
    <col min="7176" max="7176" width="23.7109375" style="76" customWidth="1"/>
    <col min="7177" max="7177" width="19.7109375" style="76" customWidth="1"/>
    <col min="7178" max="7178" width="13.140625" style="76" customWidth="1"/>
    <col min="7179" max="7179" width="14.140625" style="76" customWidth="1"/>
    <col min="7180" max="7180" width="15" style="76" customWidth="1"/>
    <col min="7181" max="7181" width="10.28515625" style="76" customWidth="1"/>
    <col min="7182" max="7182" width="13.140625" style="76" customWidth="1"/>
    <col min="7183" max="7184" width="11.42578125" style="76"/>
    <col min="7185" max="7185" width="10.28515625" style="76" customWidth="1"/>
    <col min="7186" max="7186" width="13.140625" style="76" customWidth="1"/>
    <col min="7187" max="7187" width="18.7109375" style="76" customWidth="1"/>
    <col min="7188" max="7424" width="11.42578125" style="76"/>
    <col min="7425" max="7426" width="2.42578125" style="76" customWidth="1"/>
    <col min="7427" max="7427" width="53.140625" style="76" customWidth="1"/>
    <col min="7428" max="7428" width="9.85546875" style="76" customWidth="1"/>
    <col min="7429" max="7430" width="18.7109375" style="76" customWidth="1"/>
    <col min="7431" max="7431" width="2.42578125" style="76" customWidth="1"/>
    <col min="7432" max="7432" width="23.7109375" style="76" customWidth="1"/>
    <col min="7433" max="7433" width="19.7109375" style="76" customWidth="1"/>
    <col min="7434" max="7434" width="13.140625" style="76" customWidth="1"/>
    <col min="7435" max="7435" width="14.140625" style="76" customWidth="1"/>
    <col min="7436" max="7436" width="15" style="76" customWidth="1"/>
    <col min="7437" max="7437" width="10.28515625" style="76" customWidth="1"/>
    <col min="7438" max="7438" width="13.140625" style="76" customWidth="1"/>
    <col min="7439" max="7440" width="11.42578125" style="76"/>
    <col min="7441" max="7441" width="10.28515625" style="76" customWidth="1"/>
    <col min="7442" max="7442" width="13.140625" style="76" customWidth="1"/>
    <col min="7443" max="7443" width="18.7109375" style="76" customWidth="1"/>
    <col min="7444" max="7680" width="11.42578125" style="76"/>
    <col min="7681" max="7682" width="2.42578125" style="76" customWidth="1"/>
    <col min="7683" max="7683" width="53.140625" style="76" customWidth="1"/>
    <col min="7684" max="7684" width="9.85546875" style="76" customWidth="1"/>
    <col min="7685" max="7686" width="18.7109375" style="76" customWidth="1"/>
    <col min="7687" max="7687" width="2.42578125" style="76" customWidth="1"/>
    <col min="7688" max="7688" width="23.7109375" style="76" customWidth="1"/>
    <col min="7689" max="7689" width="19.7109375" style="76" customWidth="1"/>
    <col min="7690" max="7690" width="13.140625" style="76" customWidth="1"/>
    <col min="7691" max="7691" width="14.140625" style="76" customWidth="1"/>
    <col min="7692" max="7692" width="15" style="76" customWidth="1"/>
    <col min="7693" max="7693" width="10.28515625" style="76" customWidth="1"/>
    <col min="7694" max="7694" width="13.140625" style="76" customWidth="1"/>
    <col min="7695" max="7696" width="11.42578125" style="76"/>
    <col min="7697" max="7697" width="10.28515625" style="76" customWidth="1"/>
    <col min="7698" max="7698" width="13.140625" style="76" customWidth="1"/>
    <col min="7699" max="7699" width="18.7109375" style="76" customWidth="1"/>
    <col min="7700" max="7936" width="11.42578125" style="76"/>
    <col min="7937" max="7938" width="2.42578125" style="76" customWidth="1"/>
    <col min="7939" max="7939" width="53.140625" style="76" customWidth="1"/>
    <col min="7940" max="7940" width="9.85546875" style="76" customWidth="1"/>
    <col min="7941" max="7942" width="18.7109375" style="76" customWidth="1"/>
    <col min="7943" max="7943" width="2.42578125" style="76" customWidth="1"/>
    <col min="7944" max="7944" width="23.7109375" style="76" customWidth="1"/>
    <col min="7945" max="7945" width="19.7109375" style="76" customWidth="1"/>
    <col min="7946" max="7946" width="13.140625" style="76" customWidth="1"/>
    <col min="7947" max="7947" width="14.140625" style="76" customWidth="1"/>
    <col min="7948" max="7948" width="15" style="76" customWidth="1"/>
    <col min="7949" max="7949" width="10.28515625" style="76" customWidth="1"/>
    <col min="7950" max="7950" width="13.140625" style="76" customWidth="1"/>
    <col min="7951" max="7952" width="11.42578125" style="76"/>
    <col min="7953" max="7953" width="10.28515625" style="76" customWidth="1"/>
    <col min="7954" max="7954" width="13.140625" style="76" customWidth="1"/>
    <col min="7955" max="7955" width="18.7109375" style="76" customWidth="1"/>
    <col min="7956" max="8192" width="11.42578125" style="76"/>
    <col min="8193" max="8194" width="2.42578125" style="76" customWidth="1"/>
    <col min="8195" max="8195" width="53.140625" style="76" customWidth="1"/>
    <col min="8196" max="8196" width="9.85546875" style="76" customWidth="1"/>
    <col min="8197" max="8198" width="18.7109375" style="76" customWidth="1"/>
    <col min="8199" max="8199" width="2.42578125" style="76" customWidth="1"/>
    <col min="8200" max="8200" width="23.7109375" style="76" customWidth="1"/>
    <col min="8201" max="8201" width="19.7109375" style="76" customWidth="1"/>
    <col min="8202" max="8202" width="13.140625" style="76" customWidth="1"/>
    <col min="8203" max="8203" width="14.140625" style="76" customWidth="1"/>
    <col min="8204" max="8204" width="15" style="76" customWidth="1"/>
    <col min="8205" max="8205" width="10.28515625" style="76" customWidth="1"/>
    <col min="8206" max="8206" width="13.140625" style="76" customWidth="1"/>
    <col min="8207" max="8208" width="11.42578125" style="76"/>
    <col min="8209" max="8209" width="10.28515625" style="76" customWidth="1"/>
    <col min="8210" max="8210" width="13.140625" style="76" customWidth="1"/>
    <col min="8211" max="8211" width="18.7109375" style="76" customWidth="1"/>
    <col min="8212" max="8448" width="11.42578125" style="76"/>
    <col min="8449" max="8450" width="2.42578125" style="76" customWidth="1"/>
    <col min="8451" max="8451" width="53.140625" style="76" customWidth="1"/>
    <col min="8452" max="8452" width="9.85546875" style="76" customWidth="1"/>
    <col min="8453" max="8454" width="18.7109375" style="76" customWidth="1"/>
    <col min="8455" max="8455" width="2.42578125" style="76" customWidth="1"/>
    <col min="8456" max="8456" width="23.7109375" style="76" customWidth="1"/>
    <col min="8457" max="8457" width="19.7109375" style="76" customWidth="1"/>
    <col min="8458" max="8458" width="13.140625" style="76" customWidth="1"/>
    <col min="8459" max="8459" width="14.140625" style="76" customWidth="1"/>
    <col min="8460" max="8460" width="15" style="76" customWidth="1"/>
    <col min="8461" max="8461" width="10.28515625" style="76" customWidth="1"/>
    <col min="8462" max="8462" width="13.140625" style="76" customWidth="1"/>
    <col min="8463" max="8464" width="11.42578125" style="76"/>
    <col min="8465" max="8465" width="10.28515625" style="76" customWidth="1"/>
    <col min="8466" max="8466" width="13.140625" style="76" customWidth="1"/>
    <col min="8467" max="8467" width="18.7109375" style="76" customWidth="1"/>
    <col min="8468" max="8704" width="11.42578125" style="76"/>
    <col min="8705" max="8706" width="2.42578125" style="76" customWidth="1"/>
    <col min="8707" max="8707" width="53.140625" style="76" customWidth="1"/>
    <col min="8708" max="8708" width="9.85546875" style="76" customWidth="1"/>
    <col min="8709" max="8710" width="18.7109375" style="76" customWidth="1"/>
    <col min="8711" max="8711" width="2.42578125" style="76" customWidth="1"/>
    <col min="8712" max="8712" width="23.7109375" style="76" customWidth="1"/>
    <col min="8713" max="8713" width="19.7109375" style="76" customWidth="1"/>
    <col min="8714" max="8714" width="13.140625" style="76" customWidth="1"/>
    <col min="8715" max="8715" width="14.140625" style="76" customWidth="1"/>
    <col min="8716" max="8716" width="15" style="76" customWidth="1"/>
    <col min="8717" max="8717" width="10.28515625" style="76" customWidth="1"/>
    <col min="8718" max="8718" width="13.140625" style="76" customWidth="1"/>
    <col min="8719" max="8720" width="11.42578125" style="76"/>
    <col min="8721" max="8721" width="10.28515625" style="76" customWidth="1"/>
    <col min="8722" max="8722" width="13.140625" style="76" customWidth="1"/>
    <col min="8723" max="8723" width="18.7109375" style="76" customWidth="1"/>
    <col min="8724" max="8960" width="11.42578125" style="76"/>
    <col min="8961" max="8962" width="2.42578125" style="76" customWidth="1"/>
    <col min="8963" max="8963" width="53.140625" style="76" customWidth="1"/>
    <col min="8964" max="8964" width="9.85546875" style="76" customWidth="1"/>
    <col min="8965" max="8966" width="18.7109375" style="76" customWidth="1"/>
    <col min="8967" max="8967" width="2.42578125" style="76" customWidth="1"/>
    <col min="8968" max="8968" width="23.7109375" style="76" customWidth="1"/>
    <col min="8969" max="8969" width="19.7109375" style="76" customWidth="1"/>
    <col min="8970" max="8970" width="13.140625" style="76" customWidth="1"/>
    <col min="8971" max="8971" width="14.140625" style="76" customWidth="1"/>
    <col min="8972" max="8972" width="15" style="76" customWidth="1"/>
    <col min="8973" max="8973" width="10.28515625" style="76" customWidth="1"/>
    <col min="8974" max="8974" width="13.140625" style="76" customWidth="1"/>
    <col min="8975" max="8976" width="11.42578125" style="76"/>
    <col min="8977" max="8977" width="10.28515625" style="76" customWidth="1"/>
    <col min="8978" max="8978" width="13.140625" style="76" customWidth="1"/>
    <col min="8979" max="8979" width="18.7109375" style="76" customWidth="1"/>
    <col min="8980" max="9216" width="11.42578125" style="76"/>
    <col min="9217" max="9218" width="2.42578125" style="76" customWidth="1"/>
    <col min="9219" max="9219" width="53.140625" style="76" customWidth="1"/>
    <col min="9220" max="9220" width="9.85546875" style="76" customWidth="1"/>
    <col min="9221" max="9222" width="18.7109375" style="76" customWidth="1"/>
    <col min="9223" max="9223" width="2.42578125" style="76" customWidth="1"/>
    <col min="9224" max="9224" width="23.7109375" style="76" customWidth="1"/>
    <col min="9225" max="9225" width="19.7109375" style="76" customWidth="1"/>
    <col min="9226" max="9226" width="13.140625" style="76" customWidth="1"/>
    <col min="9227" max="9227" width="14.140625" style="76" customWidth="1"/>
    <col min="9228" max="9228" width="15" style="76" customWidth="1"/>
    <col min="9229" max="9229" width="10.28515625" style="76" customWidth="1"/>
    <col min="9230" max="9230" width="13.140625" style="76" customWidth="1"/>
    <col min="9231" max="9232" width="11.42578125" style="76"/>
    <col min="9233" max="9233" width="10.28515625" style="76" customWidth="1"/>
    <col min="9234" max="9234" width="13.140625" style="76" customWidth="1"/>
    <col min="9235" max="9235" width="18.7109375" style="76" customWidth="1"/>
    <col min="9236" max="9472" width="11.42578125" style="76"/>
    <col min="9473" max="9474" width="2.42578125" style="76" customWidth="1"/>
    <col min="9475" max="9475" width="53.140625" style="76" customWidth="1"/>
    <col min="9476" max="9476" width="9.85546875" style="76" customWidth="1"/>
    <col min="9477" max="9478" width="18.7109375" style="76" customWidth="1"/>
    <col min="9479" max="9479" width="2.42578125" style="76" customWidth="1"/>
    <col min="9480" max="9480" width="23.7109375" style="76" customWidth="1"/>
    <col min="9481" max="9481" width="19.7109375" style="76" customWidth="1"/>
    <col min="9482" max="9482" width="13.140625" style="76" customWidth="1"/>
    <col min="9483" max="9483" width="14.140625" style="76" customWidth="1"/>
    <col min="9484" max="9484" width="15" style="76" customWidth="1"/>
    <col min="9485" max="9485" width="10.28515625" style="76" customWidth="1"/>
    <col min="9486" max="9486" width="13.140625" style="76" customWidth="1"/>
    <col min="9487" max="9488" width="11.42578125" style="76"/>
    <col min="9489" max="9489" width="10.28515625" style="76" customWidth="1"/>
    <col min="9490" max="9490" width="13.140625" style="76" customWidth="1"/>
    <col min="9491" max="9491" width="18.7109375" style="76" customWidth="1"/>
    <col min="9492" max="9728" width="11.42578125" style="76"/>
    <col min="9729" max="9730" width="2.42578125" style="76" customWidth="1"/>
    <col min="9731" max="9731" width="53.140625" style="76" customWidth="1"/>
    <col min="9732" max="9732" width="9.85546875" style="76" customWidth="1"/>
    <col min="9733" max="9734" width="18.7109375" style="76" customWidth="1"/>
    <col min="9735" max="9735" width="2.42578125" style="76" customWidth="1"/>
    <col min="9736" max="9736" width="23.7109375" style="76" customWidth="1"/>
    <col min="9737" max="9737" width="19.7109375" style="76" customWidth="1"/>
    <col min="9738" max="9738" width="13.140625" style="76" customWidth="1"/>
    <col min="9739" max="9739" width="14.140625" style="76" customWidth="1"/>
    <col min="9740" max="9740" width="15" style="76" customWidth="1"/>
    <col min="9741" max="9741" width="10.28515625" style="76" customWidth="1"/>
    <col min="9742" max="9742" width="13.140625" style="76" customWidth="1"/>
    <col min="9743" max="9744" width="11.42578125" style="76"/>
    <col min="9745" max="9745" width="10.28515625" style="76" customWidth="1"/>
    <col min="9746" max="9746" width="13.140625" style="76" customWidth="1"/>
    <col min="9747" max="9747" width="18.7109375" style="76" customWidth="1"/>
    <col min="9748" max="9984" width="11.42578125" style="76"/>
    <col min="9985" max="9986" width="2.42578125" style="76" customWidth="1"/>
    <col min="9987" max="9987" width="53.140625" style="76" customWidth="1"/>
    <col min="9988" max="9988" width="9.85546875" style="76" customWidth="1"/>
    <col min="9989" max="9990" width="18.7109375" style="76" customWidth="1"/>
    <col min="9991" max="9991" width="2.42578125" style="76" customWidth="1"/>
    <col min="9992" max="9992" width="23.7109375" style="76" customWidth="1"/>
    <col min="9993" max="9993" width="19.7109375" style="76" customWidth="1"/>
    <col min="9994" max="9994" width="13.140625" style="76" customWidth="1"/>
    <col min="9995" max="9995" width="14.140625" style="76" customWidth="1"/>
    <col min="9996" max="9996" width="15" style="76" customWidth="1"/>
    <col min="9997" max="9997" width="10.28515625" style="76" customWidth="1"/>
    <col min="9998" max="9998" width="13.140625" style="76" customWidth="1"/>
    <col min="9999" max="10000" width="11.42578125" style="76"/>
    <col min="10001" max="10001" width="10.28515625" style="76" customWidth="1"/>
    <col min="10002" max="10002" width="13.140625" style="76" customWidth="1"/>
    <col min="10003" max="10003" width="18.7109375" style="76" customWidth="1"/>
    <col min="10004" max="10240" width="11.42578125" style="76"/>
    <col min="10241" max="10242" width="2.42578125" style="76" customWidth="1"/>
    <col min="10243" max="10243" width="53.140625" style="76" customWidth="1"/>
    <col min="10244" max="10244" width="9.85546875" style="76" customWidth="1"/>
    <col min="10245" max="10246" width="18.7109375" style="76" customWidth="1"/>
    <col min="10247" max="10247" width="2.42578125" style="76" customWidth="1"/>
    <col min="10248" max="10248" width="23.7109375" style="76" customWidth="1"/>
    <col min="10249" max="10249" width="19.7109375" style="76" customWidth="1"/>
    <col min="10250" max="10250" width="13.140625" style="76" customWidth="1"/>
    <col min="10251" max="10251" width="14.140625" style="76" customWidth="1"/>
    <col min="10252" max="10252" width="15" style="76" customWidth="1"/>
    <col min="10253" max="10253" width="10.28515625" style="76" customWidth="1"/>
    <col min="10254" max="10254" width="13.140625" style="76" customWidth="1"/>
    <col min="10255" max="10256" width="11.42578125" style="76"/>
    <col min="10257" max="10257" width="10.28515625" style="76" customWidth="1"/>
    <col min="10258" max="10258" width="13.140625" style="76" customWidth="1"/>
    <col min="10259" max="10259" width="18.7109375" style="76" customWidth="1"/>
    <col min="10260" max="10496" width="11.42578125" style="76"/>
    <col min="10497" max="10498" width="2.42578125" style="76" customWidth="1"/>
    <col min="10499" max="10499" width="53.140625" style="76" customWidth="1"/>
    <col min="10500" max="10500" width="9.85546875" style="76" customWidth="1"/>
    <col min="10501" max="10502" width="18.7109375" style="76" customWidth="1"/>
    <col min="10503" max="10503" width="2.42578125" style="76" customWidth="1"/>
    <col min="10504" max="10504" width="23.7109375" style="76" customWidth="1"/>
    <col min="10505" max="10505" width="19.7109375" style="76" customWidth="1"/>
    <col min="10506" max="10506" width="13.140625" style="76" customWidth="1"/>
    <col min="10507" max="10507" width="14.140625" style="76" customWidth="1"/>
    <col min="10508" max="10508" width="15" style="76" customWidth="1"/>
    <col min="10509" max="10509" width="10.28515625" style="76" customWidth="1"/>
    <col min="10510" max="10510" width="13.140625" style="76" customWidth="1"/>
    <col min="10511" max="10512" width="11.42578125" style="76"/>
    <col min="10513" max="10513" width="10.28515625" style="76" customWidth="1"/>
    <col min="10514" max="10514" width="13.140625" style="76" customWidth="1"/>
    <col min="10515" max="10515" width="18.7109375" style="76" customWidth="1"/>
    <col min="10516" max="10752" width="11.42578125" style="76"/>
    <col min="10753" max="10754" width="2.42578125" style="76" customWidth="1"/>
    <col min="10755" max="10755" width="53.140625" style="76" customWidth="1"/>
    <col min="10756" max="10756" width="9.85546875" style="76" customWidth="1"/>
    <col min="10757" max="10758" width="18.7109375" style="76" customWidth="1"/>
    <col min="10759" max="10759" width="2.42578125" style="76" customWidth="1"/>
    <col min="10760" max="10760" width="23.7109375" style="76" customWidth="1"/>
    <col min="10761" max="10761" width="19.7109375" style="76" customWidth="1"/>
    <col min="10762" max="10762" width="13.140625" style="76" customWidth="1"/>
    <col min="10763" max="10763" width="14.140625" style="76" customWidth="1"/>
    <col min="10764" max="10764" width="15" style="76" customWidth="1"/>
    <col min="10765" max="10765" width="10.28515625" style="76" customWidth="1"/>
    <col min="10766" max="10766" width="13.140625" style="76" customWidth="1"/>
    <col min="10767" max="10768" width="11.42578125" style="76"/>
    <col min="10769" max="10769" width="10.28515625" style="76" customWidth="1"/>
    <col min="10770" max="10770" width="13.140625" style="76" customWidth="1"/>
    <col min="10771" max="10771" width="18.7109375" style="76" customWidth="1"/>
    <col min="10772" max="11008" width="11.42578125" style="76"/>
    <col min="11009" max="11010" width="2.42578125" style="76" customWidth="1"/>
    <col min="11011" max="11011" width="53.140625" style="76" customWidth="1"/>
    <col min="11012" max="11012" width="9.85546875" style="76" customWidth="1"/>
    <col min="11013" max="11014" width="18.7109375" style="76" customWidth="1"/>
    <col min="11015" max="11015" width="2.42578125" style="76" customWidth="1"/>
    <col min="11016" max="11016" width="23.7109375" style="76" customWidth="1"/>
    <col min="11017" max="11017" width="19.7109375" style="76" customWidth="1"/>
    <col min="11018" max="11018" width="13.140625" style="76" customWidth="1"/>
    <col min="11019" max="11019" width="14.140625" style="76" customWidth="1"/>
    <col min="11020" max="11020" width="15" style="76" customWidth="1"/>
    <col min="11021" max="11021" width="10.28515625" style="76" customWidth="1"/>
    <col min="11022" max="11022" width="13.140625" style="76" customWidth="1"/>
    <col min="11023" max="11024" width="11.42578125" style="76"/>
    <col min="11025" max="11025" width="10.28515625" style="76" customWidth="1"/>
    <col min="11026" max="11026" width="13.140625" style="76" customWidth="1"/>
    <col min="11027" max="11027" width="18.7109375" style="76" customWidth="1"/>
    <col min="11028" max="11264" width="11.42578125" style="76"/>
    <col min="11265" max="11266" width="2.42578125" style="76" customWidth="1"/>
    <col min="11267" max="11267" width="53.140625" style="76" customWidth="1"/>
    <col min="11268" max="11268" width="9.85546875" style="76" customWidth="1"/>
    <col min="11269" max="11270" width="18.7109375" style="76" customWidth="1"/>
    <col min="11271" max="11271" width="2.42578125" style="76" customWidth="1"/>
    <col min="11272" max="11272" width="23.7109375" style="76" customWidth="1"/>
    <col min="11273" max="11273" width="19.7109375" style="76" customWidth="1"/>
    <col min="11274" max="11274" width="13.140625" style="76" customWidth="1"/>
    <col min="11275" max="11275" width="14.140625" style="76" customWidth="1"/>
    <col min="11276" max="11276" width="15" style="76" customWidth="1"/>
    <col min="11277" max="11277" width="10.28515625" style="76" customWidth="1"/>
    <col min="11278" max="11278" width="13.140625" style="76" customWidth="1"/>
    <col min="11279" max="11280" width="11.42578125" style="76"/>
    <col min="11281" max="11281" width="10.28515625" style="76" customWidth="1"/>
    <col min="11282" max="11282" width="13.140625" style="76" customWidth="1"/>
    <col min="11283" max="11283" width="18.7109375" style="76" customWidth="1"/>
    <col min="11284" max="11520" width="11.42578125" style="76"/>
    <col min="11521" max="11522" width="2.42578125" style="76" customWidth="1"/>
    <col min="11523" max="11523" width="53.140625" style="76" customWidth="1"/>
    <col min="11524" max="11524" width="9.85546875" style="76" customWidth="1"/>
    <col min="11525" max="11526" width="18.7109375" style="76" customWidth="1"/>
    <col min="11527" max="11527" width="2.42578125" style="76" customWidth="1"/>
    <col min="11528" max="11528" width="23.7109375" style="76" customWidth="1"/>
    <col min="11529" max="11529" width="19.7109375" style="76" customWidth="1"/>
    <col min="11530" max="11530" width="13.140625" style="76" customWidth="1"/>
    <col min="11531" max="11531" width="14.140625" style="76" customWidth="1"/>
    <col min="11532" max="11532" width="15" style="76" customWidth="1"/>
    <col min="11533" max="11533" width="10.28515625" style="76" customWidth="1"/>
    <col min="11534" max="11534" width="13.140625" style="76" customWidth="1"/>
    <col min="11535" max="11536" width="11.42578125" style="76"/>
    <col min="11537" max="11537" width="10.28515625" style="76" customWidth="1"/>
    <col min="11538" max="11538" width="13.140625" style="76" customWidth="1"/>
    <col min="11539" max="11539" width="18.7109375" style="76" customWidth="1"/>
    <col min="11540" max="11776" width="11.42578125" style="76"/>
    <col min="11777" max="11778" width="2.42578125" style="76" customWidth="1"/>
    <col min="11779" max="11779" width="53.140625" style="76" customWidth="1"/>
    <col min="11780" max="11780" width="9.85546875" style="76" customWidth="1"/>
    <col min="11781" max="11782" width="18.7109375" style="76" customWidth="1"/>
    <col min="11783" max="11783" width="2.42578125" style="76" customWidth="1"/>
    <col min="11784" max="11784" width="23.7109375" style="76" customWidth="1"/>
    <col min="11785" max="11785" width="19.7109375" style="76" customWidth="1"/>
    <col min="11786" max="11786" width="13.140625" style="76" customWidth="1"/>
    <col min="11787" max="11787" width="14.140625" style="76" customWidth="1"/>
    <col min="11788" max="11788" width="15" style="76" customWidth="1"/>
    <col min="11789" max="11789" width="10.28515625" style="76" customWidth="1"/>
    <col min="11790" max="11790" width="13.140625" style="76" customWidth="1"/>
    <col min="11791" max="11792" width="11.42578125" style="76"/>
    <col min="11793" max="11793" width="10.28515625" style="76" customWidth="1"/>
    <col min="11794" max="11794" width="13.140625" style="76" customWidth="1"/>
    <col min="11795" max="11795" width="18.7109375" style="76" customWidth="1"/>
    <col min="11796" max="12032" width="11.42578125" style="76"/>
    <col min="12033" max="12034" width="2.42578125" style="76" customWidth="1"/>
    <col min="12035" max="12035" width="53.140625" style="76" customWidth="1"/>
    <col min="12036" max="12036" width="9.85546875" style="76" customWidth="1"/>
    <col min="12037" max="12038" width="18.7109375" style="76" customWidth="1"/>
    <col min="12039" max="12039" width="2.42578125" style="76" customWidth="1"/>
    <col min="12040" max="12040" width="23.7109375" style="76" customWidth="1"/>
    <col min="12041" max="12041" width="19.7109375" style="76" customWidth="1"/>
    <col min="12042" max="12042" width="13.140625" style="76" customWidth="1"/>
    <col min="12043" max="12043" width="14.140625" style="76" customWidth="1"/>
    <col min="12044" max="12044" width="15" style="76" customWidth="1"/>
    <col min="12045" max="12045" width="10.28515625" style="76" customWidth="1"/>
    <col min="12046" max="12046" width="13.140625" style="76" customWidth="1"/>
    <col min="12047" max="12048" width="11.42578125" style="76"/>
    <col min="12049" max="12049" width="10.28515625" style="76" customWidth="1"/>
    <col min="12050" max="12050" width="13.140625" style="76" customWidth="1"/>
    <col min="12051" max="12051" width="18.7109375" style="76" customWidth="1"/>
    <col min="12052" max="12288" width="11.42578125" style="76"/>
    <col min="12289" max="12290" width="2.42578125" style="76" customWidth="1"/>
    <col min="12291" max="12291" width="53.140625" style="76" customWidth="1"/>
    <col min="12292" max="12292" width="9.85546875" style="76" customWidth="1"/>
    <col min="12293" max="12294" width="18.7109375" style="76" customWidth="1"/>
    <col min="12295" max="12295" width="2.42578125" style="76" customWidth="1"/>
    <col min="12296" max="12296" width="23.7109375" style="76" customWidth="1"/>
    <col min="12297" max="12297" width="19.7109375" style="76" customWidth="1"/>
    <col min="12298" max="12298" width="13.140625" style="76" customWidth="1"/>
    <col min="12299" max="12299" width="14.140625" style="76" customWidth="1"/>
    <col min="12300" max="12300" width="15" style="76" customWidth="1"/>
    <col min="12301" max="12301" width="10.28515625" style="76" customWidth="1"/>
    <col min="12302" max="12302" width="13.140625" style="76" customWidth="1"/>
    <col min="12303" max="12304" width="11.42578125" style="76"/>
    <col min="12305" max="12305" width="10.28515625" style="76" customWidth="1"/>
    <col min="12306" max="12306" width="13.140625" style="76" customWidth="1"/>
    <col min="12307" max="12307" width="18.7109375" style="76" customWidth="1"/>
    <col min="12308" max="12544" width="11.42578125" style="76"/>
    <col min="12545" max="12546" width="2.42578125" style="76" customWidth="1"/>
    <col min="12547" max="12547" width="53.140625" style="76" customWidth="1"/>
    <col min="12548" max="12548" width="9.85546875" style="76" customWidth="1"/>
    <col min="12549" max="12550" width="18.7109375" style="76" customWidth="1"/>
    <col min="12551" max="12551" width="2.42578125" style="76" customWidth="1"/>
    <col min="12552" max="12552" width="23.7109375" style="76" customWidth="1"/>
    <col min="12553" max="12553" width="19.7109375" style="76" customWidth="1"/>
    <col min="12554" max="12554" width="13.140625" style="76" customWidth="1"/>
    <col min="12555" max="12555" width="14.140625" style="76" customWidth="1"/>
    <col min="12556" max="12556" width="15" style="76" customWidth="1"/>
    <col min="12557" max="12557" width="10.28515625" style="76" customWidth="1"/>
    <col min="12558" max="12558" width="13.140625" style="76" customWidth="1"/>
    <col min="12559" max="12560" width="11.42578125" style="76"/>
    <col min="12561" max="12561" width="10.28515625" style="76" customWidth="1"/>
    <col min="12562" max="12562" width="13.140625" style="76" customWidth="1"/>
    <col min="12563" max="12563" width="18.7109375" style="76" customWidth="1"/>
    <col min="12564" max="12800" width="11.42578125" style="76"/>
    <col min="12801" max="12802" width="2.42578125" style="76" customWidth="1"/>
    <col min="12803" max="12803" width="53.140625" style="76" customWidth="1"/>
    <col min="12804" max="12804" width="9.85546875" style="76" customWidth="1"/>
    <col min="12805" max="12806" width="18.7109375" style="76" customWidth="1"/>
    <col min="12807" max="12807" width="2.42578125" style="76" customWidth="1"/>
    <col min="12808" max="12808" width="23.7109375" style="76" customWidth="1"/>
    <col min="12809" max="12809" width="19.7109375" style="76" customWidth="1"/>
    <col min="12810" max="12810" width="13.140625" style="76" customWidth="1"/>
    <col min="12811" max="12811" width="14.140625" style="76" customWidth="1"/>
    <col min="12812" max="12812" width="15" style="76" customWidth="1"/>
    <col min="12813" max="12813" width="10.28515625" style="76" customWidth="1"/>
    <col min="12814" max="12814" width="13.140625" style="76" customWidth="1"/>
    <col min="12815" max="12816" width="11.42578125" style="76"/>
    <col min="12817" max="12817" width="10.28515625" style="76" customWidth="1"/>
    <col min="12818" max="12818" width="13.140625" style="76" customWidth="1"/>
    <col min="12819" max="12819" width="18.7109375" style="76" customWidth="1"/>
    <col min="12820" max="13056" width="11.42578125" style="76"/>
    <col min="13057" max="13058" width="2.42578125" style="76" customWidth="1"/>
    <col min="13059" max="13059" width="53.140625" style="76" customWidth="1"/>
    <col min="13060" max="13060" width="9.85546875" style="76" customWidth="1"/>
    <col min="13061" max="13062" width="18.7109375" style="76" customWidth="1"/>
    <col min="13063" max="13063" width="2.42578125" style="76" customWidth="1"/>
    <col min="13064" max="13064" width="23.7109375" style="76" customWidth="1"/>
    <col min="13065" max="13065" width="19.7109375" style="76" customWidth="1"/>
    <col min="13066" max="13066" width="13.140625" style="76" customWidth="1"/>
    <col min="13067" max="13067" width="14.140625" style="76" customWidth="1"/>
    <col min="13068" max="13068" width="15" style="76" customWidth="1"/>
    <col min="13069" max="13069" width="10.28515625" style="76" customWidth="1"/>
    <col min="13070" max="13070" width="13.140625" style="76" customWidth="1"/>
    <col min="13071" max="13072" width="11.42578125" style="76"/>
    <col min="13073" max="13073" width="10.28515625" style="76" customWidth="1"/>
    <col min="13074" max="13074" width="13.140625" style="76" customWidth="1"/>
    <col min="13075" max="13075" width="18.7109375" style="76" customWidth="1"/>
    <col min="13076" max="13312" width="11.42578125" style="76"/>
    <col min="13313" max="13314" width="2.42578125" style="76" customWidth="1"/>
    <col min="13315" max="13315" width="53.140625" style="76" customWidth="1"/>
    <col min="13316" max="13316" width="9.85546875" style="76" customWidth="1"/>
    <col min="13317" max="13318" width="18.7109375" style="76" customWidth="1"/>
    <col min="13319" max="13319" width="2.42578125" style="76" customWidth="1"/>
    <col min="13320" max="13320" width="23.7109375" style="76" customWidth="1"/>
    <col min="13321" max="13321" width="19.7109375" style="76" customWidth="1"/>
    <col min="13322" max="13322" width="13.140625" style="76" customWidth="1"/>
    <col min="13323" max="13323" width="14.140625" style="76" customWidth="1"/>
    <col min="13324" max="13324" width="15" style="76" customWidth="1"/>
    <col min="13325" max="13325" width="10.28515625" style="76" customWidth="1"/>
    <col min="13326" max="13326" width="13.140625" style="76" customWidth="1"/>
    <col min="13327" max="13328" width="11.42578125" style="76"/>
    <col min="13329" max="13329" width="10.28515625" style="76" customWidth="1"/>
    <col min="13330" max="13330" width="13.140625" style="76" customWidth="1"/>
    <col min="13331" max="13331" width="18.7109375" style="76" customWidth="1"/>
    <col min="13332" max="13568" width="11.42578125" style="76"/>
    <col min="13569" max="13570" width="2.42578125" style="76" customWidth="1"/>
    <col min="13571" max="13571" width="53.140625" style="76" customWidth="1"/>
    <col min="13572" max="13572" width="9.85546875" style="76" customWidth="1"/>
    <col min="13573" max="13574" width="18.7109375" style="76" customWidth="1"/>
    <col min="13575" max="13575" width="2.42578125" style="76" customWidth="1"/>
    <col min="13576" max="13576" width="23.7109375" style="76" customWidth="1"/>
    <col min="13577" max="13577" width="19.7109375" style="76" customWidth="1"/>
    <col min="13578" max="13578" width="13.140625" style="76" customWidth="1"/>
    <col min="13579" max="13579" width="14.140625" style="76" customWidth="1"/>
    <col min="13580" max="13580" width="15" style="76" customWidth="1"/>
    <col min="13581" max="13581" width="10.28515625" style="76" customWidth="1"/>
    <col min="13582" max="13582" width="13.140625" style="76" customWidth="1"/>
    <col min="13583" max="13584" width="11.42578125" style="76"/>
    <col min="13585" max="13585" width="10.28515625" style="76" customWidth="1"/>
    <col min="13586" max="13586" width="13.140625" style="76" customWidth="1"/>
    <col min="13587" max="13587" width="18.7109375" style="76" customWidth="1"/>
    <col min="13588" max="13824" width="11.42578125" style="76"/>
    <col min="13825" max="13826" width="2.42578125" style="76" customWidth="1"/>
    <col min="13827" max="13827" width="53.140625" style="76" customWidth="1"/>
    <col min="13828" max="13828" width="9.85546875" style="76" customWidth="1"/>
    <col min="13829" max="13830" width="18.7109375" style="76" customWidth="1"/>
    <col min="13831" max="13831" width="2.42578125" style="76" customWidth="1"/>
    <col min="13832" max="13832" width="23.7109375" style="76" customWidth="1"/>
    <col min="13833" max="13833" width="19.7109375" style="76" customWidth="1"/>
    <col min="13834" max="13834" width="13.140625" style="76" customWidth="1"/>
    <col min="13835" max="13835" width="14.140625" style="76" customWidth="1"/>
    <col min="13836" max="13836" width="15" style="76" customWidth="1"/>
    <col min="13837" max="13837" width="10.28515625" style="76" customWidth="1"/>
    <col min="13838" max="13838" width="13.140625" style="76" customWidth="1"/>
    <col min="13839" max="13840" width="11.42578125" style="76"/>
    <col min="13841" max="13841" width="10.28515625" style="76" customWidth="1"/>
    <col min="13842" max="13842" width="13.140625" style="76" customWidth="1"/>
    <col min="13843" max="13843" width="18.7109375" style="76" customWidth="1"/>
    <col min="13844" max="14080" width="11.42578125" style="76"/>
    <col min="14081" max="14082" width="2.42578125" style="76" customWidth="1"/>
    <col min="14083" max="14083" width="53.140625" style="76" customWidth="1"/>
    <col min="14084" max="14084" width="9.85546875" style="76" customWidth="1"/>
    <col min="14085" max="14086" width="18.7109375" style="76" customWidth="1"/>
    <col min="14087" max="14087" width="2.42578125" style="76" customWidth="1"/>
    <col min="14088" max="14088" width="23.7109375" style="76" customWidth="1"/>
    <col min="14089" max="14089" width="19.7109375" style="76" customWidth="1"/>
    <col min="14090" max="14090" width="13.140625" style="76" customWidth="1"/>
    <col min="14091" max="14091" width="14.140625" style="76" customWidth="1"/>
    <col min="14092" max="14092" width="15" style="76" customWidth="1"/>
    <col min="14093" max="14093" width="10.28515625" style="76" customWidth="1"/>
    <col min="14094" max="14094" width="13.140625" style="76" customWidth="1"/>
    <col min="14095" max="14096" width="11.42578125" style="76"/>
    <col min="14097" max="14097" width="10.28515625" style="76" customWidth="1"/>
    <col min="14098" max="14098" width="13.140625" style="76" customWidth="1"/>
    <col min="14099" max="14099" width="18.7109375" style="76" customWidth="1"/>
    <col min="14100" max="14336" width="11.42578125" style="76"/>
    <col min="14337" max="14338" width="2.42578125" style="76" customWidth="1"/>
    <col min="14339" max="14339" width="53.140625" style="76" customWidth="1"/>
    <col min="14340" max="14340" width="9.85546875" style="76" customWidth="1"/>
    <col min="14341" max="14342" width="18.7109375" style="76" customWidth="1"/>
    <col min="14343" max="14343" width="2.42578125" style="76" customWidth="1"/>
    <col min="14344" max="14344" width="23.7109375" style="76" customWidth="1"/>
    <col min="14345" max="14345" width="19.7109375" style="76" customWidth="1"/>
    <col min="14346" max="14346" width="13.140625" style="76" customWidth="1"/>
    <col min="14347" max="14347" width="14.140625" style="76" customWidth="1"/>
    <col min="14348" max="14348" width="15" style="76" customWidth="1"/>
    <col min="14349" max="14349" width="10.28515625" style="76" customWidth="1"/>
    <col min="14350" max="14350" width="13.140625" style="76" customWidth="1"/>
    <col min="14351" max="14352" width="11.42578125" style="76"/>
    <col min="14353" max="14353" width="10.28515625" style="76" customWidth="1"/>
    <col min="14354" max="14354" width="13.140625" style="76" customWidth="1"/>
    <col min="14355" max="14355" width="18.7109375" style="76" customWidth="1"/>
    <col min="14356" max="14592" width="11.42578125" style="76"/>
    <col min="14593" max="14594" width="2.42578125" style="76" customWidth="1"/>
    <col min="14595" max="14595" width="53.140625" style="76" customWidth="1"/>
    <col min="14596" max="14596" width="9.85546875" style="76" customWidth="1"/>
    <col min="14597" max="14598" width="18.7109375" style="76" customWidth="1"/>
    <col min="14599" max="14599" width="2.42578125" style="76" customWidth="1"/>
    <col min="14600" max="14600" width="23.7109375" style="76" customWidth="1"/>
    <col min="14601" max="14601" width="19.7109375" style="76" customWidth="1"/>
    <col min="14602" max="14602" width="13.140625" style="76" customWidth="1"/>
    <col min="14603" max="14603" width="14.140625" style="76" customWidth="1"/>
    <col min="14604" max="14604" width="15" style="76" customWidth="1"/>
    <col min="14605" max="14605" width="10.28515625" style="76" customWidth="1"/>
    <col min="14606" max="14606" width="13.140625" style="76" customWidth="1"/>
    <col min="14607" max="14608" width="11.42578125" style="76"/>
    <col min="14609" max="14609" width="10.28515625" style="76" customWidth="1"/>
    <col min="14610" max="14610" width="13.140625" style="76" customWidth="1"/>
    <col min="14611" max="14611" width="18.7109375" style="76" customWidth="1"/>
    <col min="14612" max="14848" width="11.42578125" style="76"/>
    <col min="14849" max="14850" width="2.42578125" style="76" customWidth="1"/>
    <col min="14851" max="14851" width="53.140625" style="76" customWidth="1"/>
    <col min="14852" max="14852" width="9.85546875" style="76" customWidth="1"/>
    <col min="14853" max="14854" width="18.7109375" style="76" customWidth="1"/>
    <col min="14855" max="14855" width="2.42578125" style="76" customWidth="1"/>
    <col min="14856" max="14856" width="23.7109375" style="76" customWidth="1"/>
    <col min="14857" max="14857" width="19.7109375" style="76" customWidth="1"/>
    <col min="14858" max="14858" width="13.140625" style="76" customWidth="1"/>
    <col min="14859" max="14859" width="14.140625" style="76" customWidth="1"/>
    <col min="14860" max="14860" width="15" style="76" customWidth="1"/>
    <col min="14861" max="14861" width="10.28515625" style="76" customWidth="1"/>
    <col min="14862" max="14862" width="13.140625" style="76" customWidth="1"/>
    <col min="14863" max="14864" width="11.42578125" style="76"/>
    <col min="14865" max="14865" width="10.28515625" style="76" customWidth="1"/>
    <col min="14866" max="14866" width="13.140625" style="76" customWidth="1"/>
    <col min="14867" max="14867" width="18.7109375" style="76" customWidth="1"/>
    <col min="14868" max="15104" width="11.42578125" style="76"/>
    <col min="15105" max="15106" width="2.42578125" style="76" customWidth="1"/>
    <col min="15107" max="15107" width="53.140625" style="76" customWidth="1"/>
    <col min="15108" max="15108" width="9.85546875" style="76" customWidth="1"/>
    <col min="15109" max="15110" width="18.7109375" style="76" customWidth="1"/>
    <col min="15111" max="15111" width="2.42578125" style="76" customWidth="1"/>
    <col min="15112" max="15112" width="23.7109375" style="76" customWidth="1"/>
    <col min="15113" max="15113" width="19.7109375" style="76" customWidth="1"/>
    <col min="15114" max="15114" width="13.140625" style="76" customWidth="1"/>
    <col min="15115" max="15115" width="14.140625" style="76" customWidth="1"/>
    <col min="15116" max="15116" width="15" style="76" customWidth="1"/>
    <col min="15117" max="15117" width="10.28515625" style="76" customWidth="1"/>
    <col min="15118" max="15118" width="13.140625" style="76" customWidth="1"/>
    <col min="15119" max="15120" width="11.42578125" style="76"/>
    <col min="15121" max="15121" width="10.28515625" style="76" customWidth="1"/>
    <col min="15122" max="15122" width="13.140625" style="76" customWidth="1"/>
    <col min="15123" max="15123" width="18.7109375" style="76" customWidth="1"/>
    <col min="15124" max="15360" width="11.42578125" style="76"/>
    <col min="15361" max="15362" width="2.42578125" style="76" customWidth="1"/>
    <col min="15363" max="15363" width="53.140625" style="76" customWidth="1"/>
    <col min="15364" max="15364" width="9.85546875" style="76" customWidth="1"/>
    <col min="15365" max="15366" width="18.7109375" style="76" customWidth="1"/>
    <col min="15367" max="15367" width="2.42578125" style="76" customWidth="1"/>
    <col min="15368" max="15368" width="23.7109375" style="76" customWidth="1"/>
    <col min="15369" max="15369" width="19.7109375" style="76" customWidth="1"/>
    <col min="15370" max="15370" width="13.140625" style="76" customWidth="1"/>
    <col min="15371" max="15371" width="14.140625" style="76" customWidth="1"/>
    <col min="15372" max="15372" width="15" style="76" customWidth="1"/>
    <col min="15373" max="15373" width="10.28515625" style="76" customWidth="1"/>
    <col min="15374" max="15374" width="13.140625" style="76" customWidth="1"/>
    <col min="15375" max="15376" width="11.42578125" style="76"/>
    <col min="15377" max="15377" width="10.28515625" style="76" customWidth="1"/>
    <col min="15378" max="15378" width="13.140625" style="76" customWidth="1"/>
    <col min="15379" max="15379" width="18.7109375" style="76" customWidth="1"/>
    <col min="15380" max="15616" width="11.42578125" style="76"/>
    <col min="15617" max="15618" width="2.42578125" style="76" customWidth="1"/>
    <col min="15619" max="15619" width="53.140625" style="76" customWidth="1"/>
    <col min="15620" max="15620" width="9.85546875" style="76" customWidth="1"/>
    <col min="15621" max="15622" width="18.7109375" style="76" customWidth="1"/>
    <col min="15623" max="15623" width="2.42578125" style="76" customWidth="1"/>
    <col min="15624" max="15624" width="23.7109375" style="76" customWidth="1"/>
    <col min="15625" max="15625" width="19.7109375" style="76" customWidth="1"/>
    <col min="15626" max="15626" width="13.140625" style="76" customWidth="1"/>
    <col min="15627" max="15627" width="14.140625" style="76" customWidth="1"/>
    <col min="15628" max="15628" width="15" style="76" customWidth="1"/>
    <col min="15629" max="15629" width="10.28515625" style="76" customWidth="1"/>
    <col min="15630" max="15630" width="13.140625" style="76" customWidth="1"/>
    <col min="15631" max="15632" width="11.42578125" style="76"/>
    <col min="15633" max="15633" width="10.28515625" style="76" customWidth="1"/>
    <col min="15634" max="15634" width="13.140625" style="76" customWidth="1"/>
    <col min="15635" max="15635" width="18.7109375" style="76" customWidth="1"/>
    <col min="15636" max="15872" width="11.42578125" style="76"/>
    <col min="15873" max="15874" width="2.42578125" style="76" customWidth="1"/>
    <col min="15875" max="15875" width="53.140625" style="76" customWidth="1"/>
    <col min="15876" max="15876" width="9.85546875" style="76" customWidth="1"/>
    <col min="15877" max="15878" width="18.7109375" style="76" customWidth="1"/>
    <col min="15879" max="15879" width="2.42578125" style="76" customWidth="1"/>
    <col min="15880" max="15880" width="23.7109375" style="76" customWidth="1"/>
    <col min="15881" max="15881" width="19.7109375" style="76" customWidth="1"/>
    <col min="15882" max="15882" width="13.140625" style="76" customWidth="1"/>
    <col min="15883" max="15883" width="14.140625" style="76" customWidth="1"/>
    <col min="15884" max="15884" width="15" style="76" customWidth="1"/>
    <col min="15885" max="15885" width="10.28515625" style="76" customWidth="1"/>
    <col min="15886" max="15886" width="13.140625" style="76" customWidth="1"/>
    <col min="15887" max="15888" width="11.42578125" style="76"/>
    <col min="15889" max="15889" width="10.28515625" style="76" customWidth="1"/>
    <col min="15890" max="15890" width="13.140625" style="76" customWidth="1"/>
    <col min="15891" max="15891" width="18.7109375" style="76" customWidth="1"/>
    <col min="15892" max="16128" width="11.42578125" style="76"/>
    <col min="16129" max="16130" width="2.42578125" style="76" customWidth="1"/>
    <col min="16131" max="16131" width="53.140625" style="76" customWidth="1"/>
    <col min="16132" max="16132" width="9.85546875" style="76" customWidth="1"/>
    <col min="16133" max="16134" width="18.7109375" style="76" customWidth="1"/>
    <col min="16135" max="16135" width="2.42578125" style="76" customWidth="1"/>
    <col min="16136" max="16136" width="23.7109375" style="76" customWidth="1"/>
    <col min="16137" max="16137" width="19.7109375" style="76" customWidth="1"/>
    <col min="16138" max="16138" width="13.140625" style="76" customWidth="1"/>
    <col min="16139" max="16139" width="14.140625" style="76" customWidth="1"/>
    <col min="16140" max="16140" width="15" style="76" customWidth="1"/>
    <col min="16141" max="16141" width="10.28515625" style="76" customWidth="1"/>
    <col min="16142" max="16142" width="13.140625" style="76" customWidth="1"/>
    <col min="16143" max="16144" width="11.42578125" style="76"/>
    <col min="16145" max="16145" width="10.28515625" style="76" customWidth="1"/>
    <col min="16146" max="16146" width="13.140625" style="76" customWidth="1"/>
    <col min="16147" max="16147" width="18.7109375" style="76" customWidth="1"/>
    <col min="16148" max="16384" width="11.42578125" style="76"/>
  </cols>
  <sheetData>
    <row r="1" spans="1:8" ht="13.5" thickBot="1" x14ac:dyDescent="0.25"/>
    <row r="2" spans="1:8" ht="25.5" customHeight="1" thickBot="1" x14ac:dyDescent="0.3">
      <c r="B2" s="71"/>
      <c r="C2" s="218" t="str">
        <f>Détail!A2</f>
        <v>Intitulé du marché:</v>
      </c>
      <c r="D2" s="346" t="str">
        <f>Détail!B2</f>
        <v>VILLE_Projet de xxxxxxxxxxxxxxxxxxxxxxxxxxxxxxxxxxxxxx</v>
      </c>
      <c r="E2" s="346"/>
      <c r="F2" s="346"/>
      <c r="G2" s="347"/>
    </row>
    <row r="3" spans="1:8" ht="25.5" customHeight="1" x14ac:dyDescent="0.25">
      <c r="A3" s="70"/>
      <c r="B3" s="71"/>
      <c r="C3" s="72" t="s">
        <v>33</v>
      </c>
      <c r="D3" s="73"/>
      <c r="E3" s="74"/>
      <c r="F3" s="74"/>
      <c r="G3" s="75"/>
    </row>
    <row r="4" spans="1:8" ht="15" customHeight="1" x14ac:dyDescent="0.2">
      <c r="A4" s="70"/>
      <c r="B4" s="70"/>
      <c r="C4" s="77"/>
      <c r="D4" s="77"/>
      <c r="E4" s="77"/>
      <c r="G4" s="78"/>
    </row>
    <row r="5" spans="1:8" x14ac:dyDescent="0.2">
      <c r="A5" s="70"/>
      <c r="B5" s="70"/>
      <c r="C5" s="76" t="s">
        <v>34</v>
      </c>
      <c r="E5" s="52">
        <v>4000</v>
      </c>
      <c r="G5" s="78"/>
    </row>
    <row r="6" spans="1:8" x14ac:dyDescent="0.2">
      <c r="A6" s="70"/>
      <c r="B6" s="70"/>
      <c r="G6" s="78"/>
    </row>
    <row r="7" spans="1:8" x14ac:dyDescent="0.2">
      <c r="A7" s="70"/>
      <c r="B7" s="70"/>
      <c r="C7" s="76" t="s">
        <v>35</v>
      </c>
      <c r="D7" s="80" t="s">
        <v>37</v>
      </c>
      <c r="E7" s="193">
        <f>Détail!C44</f>
        <v>2400000</v>
      </c>
      <c r="F7" s="84" t="s">
        <v>241</v>
      </c>
      <c r="G7" s="78"/>
    </row>
    <row r="8" spans="1:8" x14ac:dyDescent="0.2">
      <c r="A8" s="70"/>
      <c r="B8" s="70"/>
      <c r="D8" s="81" t="s">
        <v>39</v>
      </c>
      <c r="E8" s="82">
        <f>Détail!D43</f>
        <v>3020160</v>
      </c>
      <c r="F8" s="79"/>
      <c r="G8" s="78"/>
    </row>
    <row r="9" spans="1:8" x14ac:dyDescent="0.2">
      <c r="A9" s="70"/>
      <c r="B9" s="70"/>
      <c r="D9" s="81"/>
      <c r="E9" s="82"/>
      <c r="F9" s="80" t="s">
        <v>207</v>
      </c>
      <c r="G9" s="78"/>
    </row>
    <row r="10" spans="1:8" x14ac:dyDescent="0.2">
      <c r="A10" s="70"/>
      <c r="B10" s="70"/>
      <c r="C10" s="76" t="s">
        <v>36</v>
      </c>
      <c r="D10" s="80" t="s">
        <v>37</v>
      </c>
      <c r="E10" s="193">
        <f>Détail!$C$35</f>
        <v>0</v>
      </c>
      <c r="F10" s="88">
        <f>E10/E7</f>
        <v>0</v>
      </c>
      <c r="G10" s="78"/>
      <c r="H10" s="79"/>
    </row>
    <row r="11" spans="1:8" x14ac:dyDescent="0.2">
      <c r="A11" s="70"/>
      <c r="B11" s="70"/>
      <c r="D11" s="81" t="s">
        <v>39</v>
      </c>
      <c r="E11" s="82">
        <f>Détail!D35</f>
        <v>0</v>
      </c>
      <c r="G11" s="78"/>
    </row>
    <row r="12" spans="1:8" x14ac:dyDescent="0.2">
      <c r="A12" s="70"/>
      <c r="B12" s="70"/>
      <c r="C12" s="77"/>
      <c r="D12" s="77"/>
      <c r="G12" s="78"/>
    </row>
    <row r="13" spans="1:8" x14ac:dyDescent="0.2">
      <c r="A13" s="70"/>
      <c r="B13" s="70"/>
      <c r="C13" s="205" t="s">
        <v>40</v>
      </c>
      <c r="D13" s="205"/>
      <c r="E13" s="206">
        <f>E10</f>
        <v>0</v>
      </c>
      <c r="F13" s="77"/>
      <c r="G13" s="78"/>
    </row>
    <row r="14" spans="1:8" x14ac:dyDescent="0.2">
      <c r="A14" s="70"/>
      <c r="B14" s="70"/>
      <c r="C14" s="77"/>
      <c r="D14" s="77"/>
      <c r="E14" s="51"/>
      <c r="F14" s="77"/>
      <c r="G14" s="78"/>
    </row>
    <row r="15" spans="1:8" x14ac:dyDescent="0.2">
      <c r="A15" s="70"/>
      <c r="B15" s="70"/>
      <c r="C15" s="205" t="s">
        <v>41</v>
      </c>
      <c r="G15" s="78"/>
    </row>
    <row r="16" spans="1:8" ht="15" customHeight="1" x14ac:dyDescent="0.2">
      <c r="A16" s="70"/>
      <c r="B16" s="70"/>
      <c r="D16" s="83"/>
      <c r="E16" s="83"/>
      <c r="F16" s="51"/>
      <c r="G16" s="78"/>
      <c r="H16" s="84"/>
    </row>
    <row r="17" spans="1:10" x14ac:dyDescent="0.2">
      <c r="A17" s="70"/>
      <c r="B17" s="70"/>
      <c r="C17" s="85" t="s">
        <v>42</v>
      </c>
      <c r="D17" s="86" t="s">
        <v>43</v>
      </c>
      <c r="E17" s="86" t="s">
        <v>44</v>
      </c>
      <c r="F17" s="86" t="s">
        <v>45</v>
      </c>
      <c r="G17" s="78"/>
      <c r="H17" s="87"/>
    </row>
    <row r="18" spans="1:10" x14ac:dyDescent="0.2">
      <c r="A18" s="70"/>
      <c r="B18" s="70"/>
      <c r="C18" s="207" t="s">
        <v>46</v>
      </c>
      <c r="D18" s="208">
        <v>0.03</v>
      </c>
      <c r="E18" s="209">
        <f>IF(E13&gt;200000,200000,IF(E13&gt;E5,E13,0))</f>
        <v>0</v>
      </c>
      <c r="F18" s="209">
        <f>IF(E18*D18&gt;E5,E18*D18,E5)</f>
        <v>4000</v>
      </c>
      <c r="G18" s="78"/>
      <c r="H18" s="87"/>
    </row>
    <row r="19" spans="1:10" x14ac:dyDescent="0.2">
      <c r="A19" s="70"/>
      <c r="B19" s="70"/>
      <c r="C19" s="76" t="s">
        <v>47</v>
      </c>
      <c r="D19" s="88">
        <v>1.4999999999999999E-2</v>
      </c>
      <c r="E19" s="52">
        <f>IF(E13&gt;400000,400000-200000,IF(E13&gt;200000,E13-200000,0))</f>
        <v>0</v>
      </c>
      <c r="F19" s="52">
        <f>E19*D19</f>
        <v>0</v>
      </c>
      <c r="G19" s="78"/>
      <c r="H19" s="87"/>
    </row>
    <row r="20" spans="1:10" x14ac:dyDescent="0.2">
      <c r="A20" s="70"/>
      <c r="B20" s="70"/>
      <c r="C20" s="76" t="s">
        <v>48</v>
      </c>
      <c r="D20" s="88">
        <v>0.01</v>
      </c>
      <c r="E20" s="52">
        <f>IF(E13&gt;600000,600000-400000,IF(E13&gt;400000,E13-400000,0))</f>
        <v>0</v>
      </c>
      <c r="F20" s="52">
        <f>E20*D20</f>
        <v>0</v>
      </c>
      <c r="G20" s="78"/>
      <c r="H20" s="87"/>
    </row>
    <row r="21" spans="1:10" x14ac:dyDescent="0.2">
      <c r="A21" s="70"/>
      <c r="B21" s="70"/>
      <c r="C21" s="76" t="s">
        <v>49</v>
      </c>
      <c r="D21" s="88">
        <v>5.0000000000000001E-3</v>
      </c>
      <c r="E21" s="52">
        <f>IF(E13&gt;800000,800000-600000,IF(E13&gt;600000,E13-600000,0))</f>
        <v>0</v>
      </c>
      <c r="F21" s="52">
        <f>E21*D21</f>
        <v>0</v>
      </c>
      <c r="G21" s="78"/>
      <c r="H21" s="87"/>
    </row>
    <row r="22" spans="1:10" x14ac:dyDescent="0.2">
      <c r="A22" s="70"/>
      <c r="B22" s="70"/>
      <c r="C22" s="89" t="s">
        <v>50</v>
      </c>
      <c r="D22" s="90">
        <v>1E-3</v>
      </c>
      <c r="E22" s="91">
        <f>IF(E13&gt;800000,E13-800000,0)</f>
        <v>0</v>
      </c>
      <c r="F22" s="91">
        <f>E22*D22</f>
        <v>0</v>
      </c>
      <c r="G22" s="78"/>
      <c r="H22" s="92" t="str">
        <f>IF(SUM(E18:E22)=E13,"ok","erreur!")</f>
        <v>ok</v>
      </c>
    </row>
    <row r="23" spans="1:10" x14ac:dyDescent="0.2">
      <c r="A23" s="70"/>
      <c r="B23" s="70"/>
      <c r="D23" s="207"/>
      <c r="E23" s="210" t="s">
        <v>18</v>
      </c>
      <c r="F23" s="211">
        <f>SUM(F18:F22)</f>
        <v>4000</v>
      </c>
      <c r="G23" s="78"/>
    </row>
    <row r="24" spans="1:10" x14ac:dyDescent="0.2">
      <c r="A24" s="70"/>
      <c r="B24" s="70"/>
      <c r="E24" s="86" t="s">
        <v>51</v>
      </c>
      <c r="F24" s="93" t="e">
        <f>F23/E13</f>
        <v>#DIV/0!</v>
      </c>
      <c r="G24" s="78"/>
      <c r="H24" s="94"/>
    </row>
    <row r="25" spans="1:10" x14ac:dyDescent="0.2">
      <c r="A25" s="70"/>
      <c r="B25" s="70"/>
      <c r="E25" s="86" t="s">
        <v>52</v>
      </c>
      <c r="F25" s="93">
        <f>F23/E7</f>
        <v>1.6666666666666668E-3</v>
      </c>
      <c r="G25" s="78"/>
      <c r="H25" s="94"/>
    </row>
    <row r="26" spans="1:10" x14ac:dyDescent="0.2">
      <c r="A26" s="70"/>
      <c r="B26" s="70"/>
      <c r="E26" s="95"/>
      <c r="F26" s="51"/>
      <c r="G26" s="78"/>
      <c r="H26" s="84"/>
    </row>
    <row r="27" spans="1:10" x14ac:dyDescent="0.2">
      <c r="A27" s="70"/>
      <c r="B27" s="70"/>
      <c r="D27" s="212" t="s">
        <v>53</v>
      </c>
      <c r="E27" s="212" t="s">
        <v>54</v>
      </c>
      <c r="F27" s="206"/>
      <c r="G27" s="78"/>
      <c r="H27" s="84"/>
    </row>
    <row r="28" spans="1:10" ht="7.5" customHeight="1" x14ac:dyDescent="0.2">
      <c r="A28" s="70"/>
      <c r="B28" s="70"/>
      <c r="D28" s="83"/>
      <c r="E28" s="83"/>
      <c r="F28" s="51"/>
      <c r="G28" s="78"/>
      <c r="H28" s="84"/>
    </row>
    <row r="29" spans="1:10" s="84" customFormat="1" ht="58.9" customHeight="1" x14ac:dyDescent="0.2">
      <c r="A29" s="13"/>
      <c r="B29" s="13"/>
      <c r="D29" s="96" t="s">
        <v>55</v>
      </c>
      <c r="F29" s="50">
        <v>1000</v>
      </c>
      <c r="G29" s="14"/>
      <c r="H29" s="350" t="s">
        <v>242</v>
      </c>
      <c r="I29" s="351"/>
      <c r="J29" s="351"/>
    </row>
    <row r="30" spans="1:10" s="84" customFormat="1" ht="27.6" customHeight="1" x14ac:dyDescent="0.2">
      <c r="A30" s="13"/>
      <c r="B30" s="13"/>
      <c r="C30" s="219" t="s">
        <v>153</v>
      </c>
      <c r="D30" s="220" t="s">
        <v>154</v>
      </c>
      <c r="F30" s="221">
        <v>0</v>
      </c>
      <c r="G30" s="14"/>
    </row>
    <row r="31" spans="1:10" s="84" customFormat="1" ht="22.5" x14ac:dyDescent="0.2">
      <c r="A31" s="13"/>
      <c r="B31" s="13"/>
      <c r="C31" s="219" t="s">
        <v>155</v>
      </c>
      <c r="D31" s="220" t="s">
        <v>56</v>
      </c>
      <c r="F31" s="221">
        <v>0</v>
      </c>
      <c r="G31" s="14"/>
    </row>
    <row r="32" spans="1:10" s="84" customFormat="1" x14ac:dyDescent="0.2">
      <c r="A32" s="13"/>
      <c r="B32" s="13"/>
      <c r="D32" s="232" t="s">
        <v>58</v>
      </c>
      <c r="F32" s="231" t="s">
        <v>57</v>
      </c>
      <c r="G32" s="14"/>
    </row>
    <row r="33" spans="1:15" s="84" customFormat="1" x14ac:dyDescent="0.2">
      <c r="A33" s="13"/>
      <c r="B33" s="13"/>
      <c r="D33" s="207"/>
      <c r="E33" s="213" t="s">
        <v>59</v>
      </c>
      <c r="F33" s="214">
        <f>F23+SUM(F29:F32)</f>
        <v>5000</v>
      </c>
      <c r="G33" s="14"/>
      <c r="H33" s="94"/>
    </row>
    <row r="34" spans="1:15" ht="78.599999999999994" customHeight="1" x14ac:dyDescent="0.35">
      <c r="A34" s="70"/>
      <c r="B34" s="70"/>
      <c r="E34" s="86" t="s">
        <v>51</v>
      </c>
      <c r="F34" s="292" t="e">
        <f>F23/E13*100</f>
        <v>#DIV/0!</v>
      </c>
      <c r="G34" s="78" t="s">
        <v>10</v>
      </c>
      <c r="H34" s="349" t="s">
        <v>216</v>
      </c>
      <c r="I34" s="348"/>
      <c r="J34" s="348"/>
    </row>
    <row r="35" spans="1:15" ht="13.15" customHeight="1" x14ac:dyDescent="0.2">
      <c r="A35" s="70"/>
      <c r="B35" s="70"/>
      <c r="E35" s="95"/>
      <c r="F35" s="51"/>
      <c r="G35" s="78"/>
      <c r="H35" s="350" t="s">
        <v>217</v>
      </c>
      <c r="I35" s="351"/>
      <c r="J35" s="351"/>
    </row>
    <row r="36" spans="1:15" s="84" customFormat="1" ht="15.75" x14ac:dyDescent="0.25">
      <c r="A36" s="13"/>
      <c r="B36" s="13"/>
      <c r="C36" s="215"/>
      <c r="D36" s="215"/>
      <c r="E36" s="216" t="s">
        <v>60</v>
      </c>
      <c r="F36" s="217">
        <f>ROUND(F33,-2)</f>
        <v>5000</v>
      </c>
      <c r="G36" s="14"/>
      <c r="H36" s="350"/>
      <c r="I36" s="351"/>
      <c r="J36" s="351"/>
    </row>
    <row r="37" spans="1:15" x14ac:dyDescent="0.2">
      <c r="A37" s="70"/>
      <c r="B37" s="70"/>
      <c r="E37" s="86" t="s">
        <v>52</v>
      </c>
      <c r="F37" s="93">
        <f>F36/E7</f>
        <v>2.0833333333333333E-3</v>
      </c>
      <c r="G37" s="78"/>
      <c r="H37" s="350"/>
      <c r="I37" s="351"/>
      <c r="J37" s="351"/>
    </row>
    <row r="38" spans="1:15" x14ac:dyDescent="0.2">
      <c r="A38" s="70"/>
      <c r="B38" s="70"/>
      <c r="G38" s="78"/>
      <c r="H38" s="350"/>
      <c r="I38" s="351"/>
      <c r="J38" s="351"/>
    </row>
    <row r="39" spans="1:15" x14ac:dyDescent="0.2">
      <c r="A39" s="70"/>
      <c r="B39" s="70"/>
      <c r="E39" s="80"/>
      <c r="F39" s="97"/>
      <c r="G39" s="78"/>
      <c r="H39" s="350"/>
      <c r="I39" s="351"/>
      <c r="J39" s="351"/>
    </row>
    <row r="40" spans="1:15" x14ac:dyDescent="0.2">
      <c r="A40" s="70"/>
      <c r="B40" s="70"/>
      <c r="C40" s="98" t="s">
        <v>61</v>
      </c>
      <c r="E40" s="80"/>
      <c r="F40" s="50"/>
      <c r="G40" s="78"/>
      <c r="H40" s="350"/>
      <c r="I40" s="351"/>
      <c r="J40" s="351"/>
    </row>
    <row r="41" spans="1:15" ht="26.45" customHeight="1" thickBot="1" x14ac:dyDescent="0.25">
      <c r="B41" s="99"/>
      <c r="C41" s="100"/>
      <c r="D41" s="100"/>
      <c r="E41" s="100"/>
      <c r="F41" s="100"/>
      <c r="G41" s="101"/>
      <c r="H41" s="350"/>
      <c r="I41" s="351"/>
      <c r="J41" s="351"/>
    </row>
    <row r="43" spans="1:15" s="102" customFormat="1" ht="13.15" customHeight="1" x14ac:dyDescent="0.2">
      <c r="C43" s="348" t="s">
        <v>243</v>
      </c>
      <c r="D43" s="348"/>
      <c r="E43" s="348"/>
      <c r="F43" s="348"/>
      <c r="G43" s="348"/>
    </row>
    <row r="44" spans="1:15" x14ac:dyDescent="0.2">
      <c r="B44" s="103"/>
      <c r="C44" s="348"/>
      <c r="D44" s="348"/>
      <c r="E44" s="348"/>
      <c r="F44" s="348"/>
      <c r="G44" s="348"/>
      <c r="H44" s="103"/>
      <c r="I44" s="105"/>
      <c r="J44" s="106"/>
      <c r="K44" s="103"/>
      <c r="L44" s="103"/>
      <c r="M44" s="104"/>
      <c r="N44" s="107"/>
      <c r="O44" s="103"/>
    </row>
    <row r="45" spans="1:15" x14ac:dyDescent="0.2">
      <c r="C45" s="348"/>
      <c r="D45" s="348"/>
      <c r="E45" s="348"/>
      <c r="F45" s="348"/>
      <c r="G45" s="348"/>
      <c r="H45" s="103"/>
      <c r="I45" s="105"/>
      <c r="J45" s="106"/>
      <c r="K45" s="103"/>
      <c r="L45" s="103"/>
      <c r="M45" s="104"/>
      <c r="N45" s="107"/>
      <c r="O45" s="103"/>
    </row>
    <row r="46" spans="1:15" x14ac:dyDescent="0.2">
      <c r="C46" s="348"/>
      <c r="D46" s="348"/>
      <c r="E46" s="348"/>
      <c r="F46" s="348"/>
      <c r="G46" s="348"/>
      <c r="H46" s="103"/>
      <c r="I46" s="105"/>
      <c r="J46" s="106"/>
      <c r="K46" s="103"/>
      <c r="L46" s="103"/>
      <c r="M46" s="104"/>
      <c r="N46" s="107"/>
      <c r="O46" s="103"/>
    </row>
    <row r="47" spans="1:15" x14ac:dyDescent="0.2">
      <c r="C47" s="348"/>
      <c r="D47" s="348"/>
      <c r="E47" s="348"/>
      <c r="F47" s="348"/>
      <c r="G47" s="348"/>
      <c r="H47" s="103"/>
      <c r="J47" s="108"/>
      <c r="L47" s="103"/>
      <c r="M47" s="104"/>
      <c r="N47" s="107"/>
      <c r="O47" s="103"/>
    </row>
    <row r="48" spans="1:15" x14ac:dyDescent="0.2">
      <c r="C48" s="348"/>
      <c r="D48" s="348"/>
      <c r="E48" s="348"/>
      <c r="F48" s="348"/>
      <c r="G48" s="348"/>
      <c r="H48" s="103"/>
      <c r="J48" s="108"/>
      <c r="L48" s="103"/>
      <c r="M48" s="104"/>
      <c r="N48" s="107"/>
      <c r="O48" s="103"/>
    </row>
    <row r="49" spans="1:15" x14ac:dyDescent="0.2">
      <c r="C49" s="348"/>
      <c r="D49" s="348"/>
      <c r="E49" s="348"/>
      <c r="F49" s="348"/>
      <c r="G49" s="248"/>
      <c r="J49" s="108"/>
      <c r="M49" s="104"/>
      <c r="N49" s="104"/>
    </row>
    <row r="50" spans="1:15" x14ac:dyDescent="0.2">
      <c r="J50" s="108"/>
    </row>
    <row r="51" spans="1:15" x14ac:dyDescent="0.2">
      <c r="A51" s="103"/>
      <c r="H51" s="103"/>
      <c r="K51" s="103"/>
      <c r="L51" s="103"/>
      <c r="O51" s="103"/>
    </row>
    <row r="52" spans="1:15" x14ac:dyDescent="0.2">
      <c r="B52" s="103"/>
      <c r="E52" s="103"/>
      <c r="G52" s="103"/>
    </row>
    <row r="53" spans="1:15" x14ac:dyDescent="0.2">
      <c r="H53" s="103"/>
    </row>
  </sheetData>
  <sheetProtection selectLockedCells="1" selectUnlockedCells="1"/>
  <mergeCells count="7">
    <mergeCell ref="D2:G2"/>
    <mergeCell ref="C49:D49"/>
    <mergeCell ref="E49:F49"/>
    <mergeCell ref="C43:G48"/>
    <mergeCell ref="H34:J34"/>
    <mergeCell ref="H35:J41"/>
    <mergeCell ref="H29:J29"/>
  </mergeCells>
  <conditionalFormatting sqref="F34">
    <cfRule type="cellIs" dxfId="1" priority="1" operator="greaterThan">
      <formula>7.4</formula>
    </cfRule>
    <cfRule type="cellIs" dxfId="0" priority="2" operator="greaterThan">
      <formula>7.5</formula>
    </cfRule>
  </conditionalFormatting>
  <pageMargins left="0.78740157480314965" right="0.78740157480314965" top="0.98425196850393704" bottom="0.98425196850393704" header="0.51181102362204722" footer="0.51181102362204722"/>
  <pageSetup paperSize="9" scale="63" firstPageNumber="0" orientation="portrait" horizontalDpi="300" verticalDpi="300" r:id="rId1"/>
  <headerFooter alignWithMargins="0">
    <oddHeader>&amp;L&amp;F   - -   &amp;A   - -   p. &amp;P / &amp;N   - - - - -   &amp;D</oddHeader>
    <oddFooter>&amp;L&amp;"Courier New,Regular"&amp;8&amp;Z&amp;F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opLeftCell="A4" zoomScale="85" zoomScaleNormal="85" zoomScaleSheetLayoutView="100" workbookViewId="0">
      <selection activeCell="J23" sqref="J23"/>
    </sheetView>
  </sheetViews>
  <sheetFormatPr baseColWidth="10" defaultColWidth="11.42578125" defaultRowHeight="12.75" x14ac:dyDescent="0.2"/>
  <cols>
    <col min="1" max="2" width="2.42578125" style="76" customWidth="1"/>
    <col min="3" max="3" width="61.140625" style="76" customWidth="1"/>
    <col min="4" max="4" width="12" style="76" customWidth="1"/>
    <col min="5" max="5" width="26.140625" style="76" customWidth="1"/>
    <col min="6" max="6" width="32.28515625" style="76" customWidth="1"/>
    <col min="7" max="7" width="2.42578125" style="76" customWidth="1"/>
    <col min="8" max="9" width="19.7109375" style="76" customWidth="1"/>
    <col min="10" max="10" width="13.140625" style="76" customWidth="1"/>
    <col min="11" max="11" width="14.140625" style="76" customWidth="1"/>
    <col min="12" max="12" width="15" style="76" customWidth="1"/>
    <col min="13" max="13" width="10.28515625" style="76" customWidth="1"/>
    <col min="14" max="14" width="13.140625" style="76" customWidth="1"/>
    <col min="15" max="16" width="11.42578125" style="76"/>
    <col min="17" max="17" width="10.28515625" style="76" customWidth="1"/>
    <col min="18" max="18" width="13.140625" style="76" customWidth="1"/>
    <col min="19" max="19" width="18.7109375" style="76" customWidth="1"/>
    <col min="20" max="16384" width="11.42578125" style="76"/>
  </cols>
  <sheetData>
    <row r="1" spans="1:8" ht="13.5" thickBot="1" x14ac:dyDescent="0.25"/>
    <row r="2" spans="1:8" ht="25.5" customHeight="1" thickBot="1" x14ac:dyDescent="0.3">
      <c r="B2" s="71"/>
      <c r="C2" s="218" t="str">
        <f>Détail!A2</f>
        <v>Intitulé du marché:</v>
      </c>
      <c r="D2" s="352" t="str">
        <f>Détail!B2</f>
        <v>VILLE_Projet de xxxxxxxxxxxxxxxxxxxxxxxxxxxxxxxxxxxxxx</v>
      </c>
      <c r="E2" s="352"/>
      <c r="F2" s="352"/>
      <c r="G2" s="353"/>
    </row>
    <row r="3" spans="1:8" ht="25.5" customHeight="1" x14ac:dyDescent="0.25">
      <c r="A3" s="70"/>
      <c r="B3" s="71"/>
      <c r="C3" s="72" t="s">
        <v>247</v>
      </c>
      <c r="D3" s="73" t="s">
        <v>115</v>
      </c>
      <c r="E3" s="74"/>
      <c r="F3" s="74"/>
      <c r="G3" s="75"/>
    </row>
    <row r="4" spans="1:8" ht="15" customHeight="1" x14ac:dyDescent="0.2">
      <c r="A4" s="70"/>
      <c r="B4" s="70"/>
      <c r="C4" s="77"/>
      <c r="D4" s="77"/>
      <c r="E4" s="77"/>
      <c r="G4" s="78"/>
    </row>
    <row r="5" spans="1:8" x14ac:dyDescent="0.2">
      <c r="A5" s="70"/>
      <c r="B5" s="70"/>
      <c r="C5" s="76" t="s">
        <v>114</v>
      </c>
      <c r="E5" s="52">
        <v>125000</v>
      </c>
      <c r="G5" s="78"/>
    </row>
    <row r="6" spans="1:8" x14ac:dyDescent="0.2">
      <c r="A6" s="70"/>
      <c r="B6" s="70"/>
      <c r="G6" s="78"/>
    </row>
    <row r="7" spans="1:8" x14ac:dyDescent="0.2">
      <c r="A7" s="70"/>
      <c r="B7" s="70"/>
      <c r="C7" s="76" t="s">
        <v>35</v>
      </c>
      <c r="D7" s="80" t="s">
        <v>37</v>
      </c>
      <c r="E7" s="193">
        <f>Détail!C44</f>
        <v>2400000</v>
      </c>
      <c r="F7" s="84" t="s">
        <v>241</v>
      </c>
      <c r="G7" s="78"/>
      <c r="H7" s="79"/>
    </row>
    <row r="8" spans="1:8" x14ac:dyDescent="0.2">
      <c r="A8" s="70"/>
      <c r="B8" s="70"/>
      <c r="D8" s="81" t="s">
        <v>39</v>
      </c>
      <c r="E8" s="82">
        <f>Détail!D43</f>
        <v>3020160</v>
      </c>
      <c r="G8" s="78"/>
    </row>
    <row r="9" spans="1:8" x14ac:dyDescent="0.2">
      <c r="A9" s="70"/>
      <c r="B9" s="70"/>
      <c r="C9" s="77"/>
      <c r="D9" s="77"/>
      <c r="G9" s="78"/>
    </row>
    <row r="10" spans="1:8" x14ac:dyDescent="0.2">
      <c r="A10" s="70"/>
      <c r="B10" s="70"/>
      <c r="C10" s="165" t="s">
        <v>113</v>
      </c>
      <c r="D10" s="165"/>
      <c r="E10" s="164">
        <f>E7</f>
        <v>2400000</v>
      </c>
      <c r="F10" s="77"/>
      <c r="G10" s="78"/>
    </row>
    <row r="11" spans="1:8" x14ac:dyDescent="0.2">
      <c r="A11" s="70"/>
      <c r="B11" s="70"/>
      <c r="C11" s="77"/>
      <c r="D11" s="163"/>
      <c r="E11" s="156"/>
      <c r="F11" s="77"/>
      <c r="G11" s="78"/>
    </row>
    <row r="12" spans="1:8" x14ac:dyDescent="0.2">
      <c r="A12" s="70"/>
      <c r="B12" s="70"/>
      <c r="C12" s="162" t="s">
        <v>112</v>
      </c>
      <c r="D12" s="161">
        <f>C24</f>
        <v>45323</v>
      </c>
      <c r="E12" s="160">
        <f>(0.4*D24/$D$25)+(0.4*E24/($E$25/40.3399))+0.2</f>
        <v>2.2317691478412911</v>
      </c>
      <c r="F12" s="79" t="s">
        <v>111</v>
      </c>
      <c r="G12" s="78"/>
    </row>
    <row r="13" spans="1:8" x14ac:dyDescent="0.2">
      <c r="A13" s="70"/>
      <c r="B13" s="70"/>
      <c r="G13" s="78"/>
    </row>
    <row r="14" spans="1:8" x14ac:dyDescent="0.2">
      <c r="A14" s="70"/>
      <c r="B14" s="70"/>
      <c r="C14" s="85" t="s">
        <v>110</v>
      </c>
      <c r="D14" s="86" t="s">
        <v>43</v>
      </c>
      <c r="E14" s="86" t="s">
        <v>44</v>
      </c>
      <c r="F14" s="86" t="s">
        <v>109</v>
      </c>
      <c r="G14" s="78"/>
      <c r="H14" s="87"/>
    </row>
    <row r="15" spans="1:8" x14ac:dyDescent="0.2">
      <c r="A15" s="70"/>
      <c r="B15" s="70"/>
      <c r="C15" s="158" t="s">
        <v>108</v>
      </c>
      <c r="D15" s="243">
        <v>0.01</v>
      </c>
      <c r="E15" s="159">
        <f>IF(E10&gt;250000*E12,250000*E12,IF(E10&gt;E5,E10,0))</f>
        <v>557942.28696032276</v>
      </c>
      <c r="F15" s="159">
        <f>E15*D15</f>
        <v>5579.4228696032278</v>
      </c>
      <c r="G15" s="78"/>
      <c r="H15" s="87"/>
    </row>
    <row r="16" spans="1:8" x14ac:dyDescent="0.2">
      <c r="A16" s="70"/>
      <c r="B16" s="70"/>
      <c r="C16" s="76" t="s">
        <v>107</v>
      </c>
      <c r="D16" s="244">
        <v>7.4999999999999997E-3</v>
      </c>
      <c r="E16" s="52">
        <f>IF(E10&gt;1250000*E12,(1250000-250000)*E12,IF(E10&gt;250000*E123,E10-250000*E12,0))</f>
        <v>1842057.7130396771</v>
      </c>
      <c r="F16" s="52">
        <f>E16*D16</f>
        <v>13815.432847797578</v>
      </c>
      <c r="G16" s="78"/>
      <c r="H16" s="87"/>
    </row>
    <row r="17" spans="1:15" x14ac:dyDescent="0.2">
      <c r="A17" s="70"/>
      <c r="B17" s="70"/>
      <c r="C17" s="76" t="s">
        <v>106</v>
      </c>
      <c r="D17" s="244">
        <v>5.0000000000000001E-3</v>
      </c>
      <c r="E17" s="52">
        <f>IF(E10&gt;2500000*E12,(2500000-1250000)*E12,IF(E10&gt;1250000*E12,E10-1250000*E12,0))</f>
        <v>0</v>
      </c>
      <c r="F17" s="52">
        <f>E17*D17</f>
        <v>0</v>
      </c>
      <c r="G17" s="78"/>
      <c r="H17" s="87"/>
    </row>
    <row r="18" spans="1:15" x14ac:dyDescent="0.2">
      <c r="A18" s="70"/>
      <c r="B18" s="70"/>
      <c r="C18" s="89" t="s">
        <v>105</v>
      </c>
      <c r="D18" s="245">
        <v>2.5000000000000001E-3</v>
      </c>
      <c r="E18" s="91">
        <f>IF(E10&gt;2500000*E12,E10-2500000*E12,0)</f>
        <v>0</v>
      </c>
      <c r="F18" s="91">
        <f>E18*D18</f>
        <v>0</v>
      </c>
      <c r="G18" s="78"/>
      <c r="H18" s="92"/>
    </row>
    <row r="19" spans="1:15" ht="71.45" customHeight="1" x14ac:dyDescent="0.2">
      <c r="A19" s="70"/>
      <c r="B19" s="70"/>
      <c r="C19" s="305" t="s">
        <v>248</v>
      </c>
      <c r="D19" s="154"/>
      <c r="E19" s="157" t="s">
        <v>104</v>
      </c>
      <c r="F19" s="156">
        <f>SUM(F15:F18)</f>
        <v>19394.855717400806</v>
      </c>
      <c r="G19" s="78"/>
      <c r="H19" s="155"/>
    </row>
    <row r="20" spans="1:15" x14ac:dyDescent="0.2">
      <c r="A20" s="70"/>
      <c r="B20" s="70"/>
      <c r="E20" s="196" t="s">
        <v>143</v>
      </c>
      <c r="F20" s="195">
        <f>ROUNDUP(F19,-2)</f>
        <v>19400</v>
      </c>
      <c r="G20" s="78"/>
      <c r="H20" s="94"/>
    </row>
    <row r="21" spans="1:15" x14ac:dyDescent="0.2">
      <c r="A21" s="70"/>
      <c r="B21" s="70"/>
      <c r="E21" s="95"/>
      <c r="F21" s="51"/>
      <c r="G21" s="78"/>
    </row>
    <row r="22" spans="1:15" x14ac:dyDescent="0.2">
      <c r="A22" s="70"/>
      <c r="B22" s="70"/>
      <c r="C22" s="98" t="s">
        <v>148</v>
      </c>
      <c r="E22" s="80"/>
      <c r="F22" s="50"/>
      <c r="G22" s="78"/>
    </row>
    <row r="23" spans="1:15" ht="62.25" customHeight="1" x14ac:dyDescent="0.2">
      <c r="B23" s="70"/>
      <c r="C23" s="154" t="s">
        <v>206</v>
      </c>
      <c r="D23" s="76" t="s">
        <v>103</v>
      </c>
      <c r="E23" s="153" t="s">
        <v>102</v>
      </c>
      <c r="F23" s="50"/>
      <c r="G23" s="78"/>
    </row>
    <row r="24" spans="1:15" ht="47.25" customHeight="1" thickBot="1" x14ac:dyDescent="0.25">
      <c r="B24" s="99"/>
      <c r="C24" s="254">
        <v>45323</v>
      </c>
      <c r="D24" s="48">
        <v>12439</v>
      </c>
      <c r="E24" s="48">
        <v>37.088000000000001</v>
      </c>
      <c r="F24" s="152"/>
      <c r="G24" s="101"/>
    </row>
    <row r="25" spans="1:15" ht="13.5" hidden="1" thickBot="1" x14ac:dyDescent="0.25">
      <c r="B25" s="99"/>
      <c r="C25" s="151">
        <v>34710</v>
      </c>
      <c r="D25" s="150">
        <v>3818</v>
      </c>
      <c r="E25" s="149">
        <v>821.4</v>
      </c>
      <c r="F25" s="100"/>
      <c r="G25" s="101"/>
    </row>
    <row r="31" spans="1:15" x14ac:dyDescent="0.2">
      <c r="A31" s="145"/>
      <c r="H31" s="147"/>
      <c r="I31" s="146"/>
      <c r="J31" s="148"/>
      <c r="K31" s="145"/>
      <c r="L31" s="147"/>
      <c r="M31" s="146"/>
      <c r="N31" s="148"/>
      <c r="O31" s="145"/>
    </row>
    <row r="32" spans="1:15" x14ac:dyDescent="0.2">
      <c r="A32" s="145"/>
      <c r="B32" s="145"/>
      <c r="E32" s="147"/>
      <c r="F32" s="146"/>
      <c r="G32" s="145"/>
      <c r="H32" s="147"/>
      <c r="I32" s="146"/>
      <c r="J32" s="148"/>
      <c r="K32" s="145"/>
      <c r="L32" s="147"/>
      <c r="M32" s="146"/>
      <c r="N32" s="148"/>
      <c r="O32" s="145"/>
    </row>
    <row r="33" spans="1:15" x14ac:dyDescent="0.2">
      <c r="A33" s="103"/>
      <c r="B33" s="145"/>
      <c r="E33" s="147"/>
      <c r="F33" s="146"/>
      <c r="G33" s="145"/>
      <c r="H33" s="103"/>
      <c r="I33" s="104"/>
      <c r="J33" s="108"/>
      <c r="K33" s="103"/>
      <c r="L33" s="103"/>
      <c r="M33" s="104"/>
      <c r="N33" s="107"/>
      <c r="O33" s="103"/>
    </row>
    <row r="34" spans="1:15" x14ac:dyDescent="0.2">
      <c r="A34" s="103"/>
      <c r="B34" s="103"/>
      <c r="E34" s="103"/>
      <c r="F34" s="104"/>
      <c r="G34" s="103"/>
      <c r="H34" s="103"/>
      <c r="I34" s="104"/>
      <c r="J34" s="108"/>
      <c r="K34" s="103"/>
      <c r="L34" s="103"/>
      <c r="M34" s="104"/>
      <c r="N34" s="107"/>
      <c r="O34" s="103"/>
    </row>
    <row r="35" spans="1:15" x14ac:dyDescent="0.2">
      <c r="B35" s="103"/>
      <c r="E35" s="103"/>
      <c r="F35" s="104"/>
      <c r="G35" s="103"/>
      <c r="H35" s="103"/>
      <c r="I35" s="105"/>
      <c r="J35" s="106"/>
      <c r="K35" s="103"/>
      <c r="L35" s="103"/>
      <c r="M35" s="104"/>
      <c r="N35" s="107"/>
      <c r="O35" s="103"/>
    </row>
    <row r="36" spans="1:15" x14ac:dyDescent="0.2">
      <c r="F36" s="105"/>
      <c r="H36" s="103"/>
      <c r="I36" s="105"/>
      <c r="J36" s="106"/>
      <c r="K36" s="103"/>
      <c r="L36" s="103"/>
      <c r="M36" s="104"/>
      <c r="N36" s="107"/>
      <c r="O36" s="103"/>
    </row>
    <row r="37" spans="1:15" x14ac:dyDescent="0.2">
      <c r="H37" s="103"/>
      <c r="I37" s="105"/>
      <c r="J37" s="106"/>
      <c r="K37" s="103"/>
      <c r="L37" s="103"/>
      <c r="M37" s="104"/>
      <c r="N37" s="107"/>
      <c r="O37" s="103"/>
    </row>
    <row r="38" spans="1:15" x14ac:dyDescent="0.2">
      <c r="E38" s="103"/>
      <c r="H38" s="103"/>
      <c r="J38" s="108"/>
      <c r="L38" s="103"/>
      <c r="M38" s="104"/>
      <c r="N38" s="107"/>
      <c r="O38" s="103"/>
    </row>
    <row r="39" spans="1:15" x14ac:dyDescent="0.2">
      <c r="E39" s="103"/>
      <c r="H39" s="103"/>
      <c r="J39" s="108"/>
      <c r="L39" s="103"/>
      <c r="M39" s="104"/>
      <c r="N39" s="107"/>
      <c r="O39" s="103"/>
    </row>
    <row r="40" spans="1:15" x14ac:dyDescent="0.2">
      <c r="E40" s="103"/>
      <c r="J40" s="108"/>
      <c r="M40" s="104"/>
      <c r="N40" s="104"/>
    </row>
    <row r="41" spans="1:15" x14ac:dyDescent="0.2">
      <c r="J41" s="108"/>
    </row>
    <row r="42" spans="1:15" x14ac:dyDescent="0.2">
      <c r="A42" s="103"/>
      <c r="H42" s="103"/>
      <c r="K42" s="103"/>
      <c r="L42" s="103"/>
      <c r="O42" s="103"/>
    </row>
    <row r="43" spans="1:15" x14ac:dyDescent="0.2">
      <c r="B43" s="103"/>
      <c r="E43" s="103"/>
      <c r="G43" s="103"/>
    </row>
    <row r="44" spans="1:15" x14ac:dyDescent="0.2">
      <c r="H44" s="103"/>
    </row>
  </sheetData>
  <sheetProtection selectLockedCells="1" selectUnlockedCells="1"/>
  <mergeCells count="1">
    <mergeCell ref="D2:G2"/>
  </mergeCells>
  <pageMargins left="0.78740157480314965" right="0.78740157480314965" top="0.98425196850393704" bottom="0.98425196850393704" header="0.51181102362204722" footer="0.51181102362204722"/>
  <pageSetup paperSize="9" scale="79" firstPageNumber="0" orientation="portrait" horizontalDpi="300" verticalDpi="300" r:id="rId1"/>
  <headerFooter alignWithMargins="0">
    <oddHeader>&amp;L&amp;F   - -   &amp;A   - -   p. &amp;P / &amp;N   - - - - -   &amp;D</oddHeader>
    <oddFooter>&amp;L&amp;"Courier New,Regular"&amp;8&amp;Z&amp;F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1"/>
  <sheetViews>
    <sheetView zoomScale="70" zoomScaleNormal="70" workbookViewId="0">
      <selection activeCell="B7" sqref="B7"/>
    </sheetView>
  </sheetViews>
  <sheetFormatPr baseColWidth="10" defaultColWidth="14.85546875" defaultRowHeight="12.75" outlineLevelRow="2" x14ac:dyDescent="0.2"/>
  <cols>
    <col min="1" max="6" width="14.7109375" style="1" customWidth="1"/>
    <col min="7" max="7" width="22.42578125" style="1" customWidth="1"/>
    <col min="8" max="8" width="14.7109375" style="1" customWidth="1"/>
    <col min="9" max="9" width="20.7109375" style="1" customWidth="1"/>
    <col min="10" max="11" width="14.7109375" style="1" customWidth="1"/>
    <col min="12" max="12" width="22.85546875" style="1" customWidth="1"/>
    <col min="13" max="13" width="18.140625" style="1" customWidth="1"/>
    <col min="14" max="16384" width="14.85546875" style="1"/>
  </cols>
  <sheetData>
    <row r="1" spans="1:13" x14ac:dyDescent="0.2">
      <c r="A1" s="363" t="s">
        <v>181</v>
      </c>
      <c r="B1" s="363"/>
      <c r="C1" s="363"/>
      <c r="D1" s="363"/>
      <c r="E1" s="363"/>
      <c r="F1" s="363"/>
      <c r="G1" s="363"/>
      <c r="H1" s="363"/>
      <c r="I1" s="363"/>
      <c r="J1" s="363"/>
    </row>
    <row r="2" spans="1:13" x14ac:dyDescent="0.2">
      <c r="A2" s="204"/>
      <c r="B2" s="204"/>
      <c r="C2" s="204"/>
      <c r="D2" s="204"/>
      <c r="E2" s="204"/>
      <c r="F2" s="204"/>
      <c r="G2" s="204"/>
      <c r="H2" s="204"/>
      <c r="I2" s="204"/>
      <c r="J2" s="204"/>
    </row>
    <row r="3" spans="1:13" ht="13.5" thickBot="1" x14ac:dyDescent="0.25">
      <c r="A3" s="1" t="str">
        <f>Détail!A2</f>
        <v>Intitulé du marché:</v>
      </c>
      <c r="C3" s="359" t="str">
        <f>Détail!B2</f>
        <v>VILLE_Projet de xxxxxxxxxxxxxxxxxxxxxxxxxxxxxxxxxxxxxx</v>
      </c>
      <c r="D3" s="359"/>
      <c r="E3" s="359"/>
    </row>
    <row r="4" spans="1:13" ht="13.5" customHeight="1" thickBot="1" x14ac:dyDescent="0.25">
      <c r="A4" s="360" t="s">
        <v>0</v>
      </c>
      <c r="B4" s="360"/>
      <c r="C4" s="360"/>
      <c r="D4" s="360"/>
      <c r="E4" s="360"/>
      <c r="F4" s="360"/>
      <c r="G4" s="360"/>
      <c r="H4" s="360"/>
      <c r="I4" s="360"/>
      <c r="J4" s="364" t="s">
        <v>95</v>
      </c>
      <c r="K4" s="364"/>
      <c r="L4" s="356" t="s">
        <v>28</v>
      </c>
      <c r="M4" s="357"/>
    </row>
    <row r="5" spans="1:13" ht="26.25" thickBot="1" x14ac:dyDescent="0.25">
      <c r="A5" s="358" t="s">
        <v>1</v>
      </c>
      <c r="B5" s="358"/>
      <c r="C5" s="69" t="s">
        <v>2</v>
      </c>
      <c r="D5" s="69" t="s">
        <v>3</v>
      </c>
      <c r="E5" s="69" t="s">
        <v>4</v>
      </c>
      <c r="F5" s="2" t="s">
        <v>5</v>
      </c>
      <c r="G5" s="69" t="s">
        <v>6</v>
      </c>
      <c r="H5" s="2" t="s">
        <v>7</v>
      </c>
      <c r="I5" s="69" t="s">
        <v>8</v>
      </c>
      <c r="J5" s="364"/>
      <c r="K5" s="364"/>
    </row>
    <row r="6" spans="1:13" ht="13.5" customHeight="1" thickBot="1" x14ac:dyDescent="0.25">
      <c r="A6" s="362" t="s">
        <v>9</v>
      </c>
      <c r="B6" s="362"/>
      <c r="C6" s="3">
        <v>0.06</v>
      </c>
      <c r="D6" s="4">
        <v>5.5E-2</v>
      </c>
      <c r="E6" s="5">
        <v>0.05</v>
      </c>
      <c r="F6" s="4">
        <v>4.4999999999999998E-2</v>
      </c>
      <c r="G6" s="4">
        <v>4.2500000000000003E-2</v>
      </c>
      <c r="H6" s="5">
        <v>0.04</v>
      </c>
      <c r="I6" s="6"/>
      <c r="J6" s="131" t="s">
        <v>96</v>
      </c>
      <c r="K6" s="68" t="s">
        <v>10</v>
      </c>
    </row>
    <row r="7" spans="1:13" ht="13.5" thickBot="1" x14ac:dyDescent="0.25">
      <c r="A7" s="7" t="s">
        <v>11</v>
      </c>
      <c r="B7" s="194">
        <f>Détail!C44</f>
        <v>2400000</v>
      </c>
      <c r="C7" s="8">
        <f>IF($B7&gt;$A$9,$A$9*$C$6,$B7*$C$6)</f>
        <v>9600</v>
      </c>
      <c r="D7" s="9">
        <f>IF($B7&gt;$A$10,($A$10-$A$9)*$D$6,IF($B7&gt;$A$9,($B7-$A$9)*$D$6,0))</f>
        <v>21450</v>
      </c>
      <c r="E7" s="9">
        <f>IF($B7&gt;$A$11,($A$11-$A$10)*$E$6,IF($B7&gt;$A$10,($B7-$A$10)*$E$6,0))</f>
        <v>42500</v>
      </c>
      <c r="F7" s="9">
        <f>IF($B7&gt;$A$12,($A$12-$A$11)*$F$6,IF($B7&gt;$A$11,($B7-$A$11)*$F$6,0))</f>
        <v>45000</v>
      </c>
      <c r="G7" s="9">
        <f>IF($B7&gt;$A$13,($A$13-$A$12)*$G$6,IF($B7&gt;$A$12,($B7-$A$12)*$G$6,0))</f>
        <v>0</v>
      </c>
      <c r="H7" s="9">
        <f>IF($B7&gt;$A$13,($B7-$A$13)*$H$6,0)</f>
        <v>0</v>
      </c>
      <c r="I7" s="10">
        <f>SUM(C7:H7)</f>
        <v>118550</v>
      </c>
      <c r="J7" s="132">
        <f>(B7*K7)/100</f>
        <v>118550</v>
      </c>
      <c r="K7" s="11">
        <f>(I7/B7)*100</f>
        <v>4.9395833333333332</v>
      </c>
      <c r="L7" s="57">
        <f>K7*L70/100</f>
        <v>4.9560576360308792E-2</v>
      </c>
    </row>
    <row r="8" spans="1:13" x14ac:dyDescent="0.2">
      <c r="B8" s="84" t="s">
        <v>241</v>
      </c>
      <c r="I8" s="62" t="s">
        <v>157</v>
      </c>
      <c r="J8" s="223">
        <v>0</v>
      </c>
      <c r="K8" s="12">
        <f>J8/B7*100</f>
        <v>0</v>
      </c>
    </row>
    <row r="9" spans="1:13" hidden="1" outlineLevel="2" x14ac:dyDescent="0.2">
      <c r="A9" s="1">
        <v>160000</v>
      </c>
      <c r="C9" s="12"/>
      <c r="D9" s="12"/>
      <c r="E9" s="12"/>
      <c r="F9" s="12"/>
    </row>
    <row r="10" spans="1:13" hidden="1" outlineLevel="2" x14ac:dyDescent="0.2">
      <c r="A10" s="1">
        <v>550000</v>
      </c>
    </row>
    <row r="11" spans="1:13" hidden="1" outlineLevel="2" x14ac:dyDescent="0.2">
      <c r="A11" s="1">
        <v>1400000</v>
      </c>
    </row>
    <row r="12" spans="1:13" hidden="1" outlineLevel="2" x14ac:dyDescent="0.2">
      <c r="A12" s="1">
        <v>5500000</v>
      </c>
    </row>
    <row r="13" spans="1:13" hidden="1" outlineLevel="2" x14ac:dyDescent="0.2">
      <c r="A13" s="1">
        <v>16600000</v>
      </c>
    </row>
    <row r="14" spans="1:13" ht="13.5" collapsed="1" thickBot="1" x14ac:dyDescent="0.25"/>
    <row r="15" spans="1:13" ht="13.5" thickBot="1" x14ac:dyDescent="0.25">
      <c r="A15" s="360" t="s">
        <v>164</v>
      </c>
      <c r="B15" s="360"/>
      <c r="C15" s="360"/>
      <c r="D15" s="360"/>
      <c r="F15" s="360" t="s">
        <v>165</v>
      </c>
      <c r="G15" s="360"/>
      <c r="H15" s="360"/>
      <c r="I15" s="360"/>
      <c r="J15" s="361" t="s">
        <v>8</v>
      </c>
      <c r="K15" s="361"/>
    </row>
    <row r="16" spans="1:13" ht="26.25" thickBot="1" x14ac:dyDescent="0.25">
      <c r="A16" s="69" t="s">
        <v>12</v>
      </c>
      <c r="B16" s="133" t="s">
        <v>101</v>
      </c>
      <c r="C16" s="69" t="s">
        <v>13</v>
      </c>
      <c r="D16" s="134" t="s">
        <v>14</v>
      </c>
      <c r="F16" s="69" t="s">
        <v>97</v>
      </c>
      <c r="G16" s="134" t="s">
        <v>101</v>
      </c>
      <c r="H16" s="134" t="s">
        <v>13</v>
      </c>
      <c r="I16" s="134" t="s">
        <v>14</v>
      </c>
      <c r="J16" s="13"/>
      <c r="K16" s="14"/>
      <c r="L16" s="135" t="s">
        <v>29</v>
      </c>
      <c r="M16" s="135" t="s">
        <v>30</v>
      </c>
    </row>
    <row r="17" spans="1:13" ht="13.5" thickBot="1" x14ac:dyDescent="0.25">
      <c r="A17" s="15">
        <f>B7</f>
        <v>2400000</v>
      </c>
      <c r="B17" s="16">
        <f>A17*15%</f>
        <v>360000</v>
      </c>
      <c r="C17" s="17">
        <f>VLOOKUP(B17,A20:B58,2,TRUE)</f>
        <v>10.19</v>
      </c>
      <c r="D17" s="18">
        <f>(B17*C17)/100</f>
        <v>36684</v>
      </c>
      <c r="F17" s="15">
        <f>B7</f>
        <v>2400000</v>
      </c>
      <c r="G17" s="18">
        <f>F17*15%</f>
        <v>360000</v>
      </c>
      <c r="H17" s="19">
        <f>VLOOKUP(G17,F20:G58,2,TRUE)</f>
        <v>12.68</v>
      </c>
      <c r="I17" s="18">
        <f>(G17*H17)/100</f>
        <v>45648</v>
      </c>
      <c r="J17" s="20">
        <f>I17+D17</f>
        <v>82332</v>
      </c>
      <c r="K17" s="136">
        <f>(J17/B7)*100</f>
        <v>3.4305000000000003</v>
      </c>
      <c r="L17" s="57">
        <f>C18*L70</f>
        <v>1.5335977926626467E-2</v>
      </c>
      <c r="M17" s="57">
        <f>H18*L70</f>
        <v>1.9083434750699076E-2</v>
      </c>
    </row>
    <row r="18" spans="1:13" x14ac:dyDescent="0.2">
      <c r="A18" s="49"/>
      <c r="B18" s="52" t="s">
        <v>27</v>
      </c>
      <c r="C18" s="53">
        <f>D17/B7</f>
        <v>1.5285E-2</v>
      </c>
      <c r="D18" s="50"/>
      <c r="F18" s="49"/>
      <c r="G18" s="52" t="s">
        <v>27</v>
      </c>
      <c r="H18" s="53">
        <f>I17/B7</f>
        <v>1.9019999999999999E-2</v>
      </c>
      <c r="I18" s="50"/>
      <c r="J18" s="51"/>
      <c r="K18" s="30"/>
    </row>
    <row r="20" spans="1:13" ht="21" hidden="1" customHeight="1" outlineLevel="1" thickBot="1" x14ac:dyDescent="0.25">
      <c r="A20" s="21" t="s">
        <v>16</v>
      </c>
      <c r="B20" s="22" t="s">
        <v>98</v>
      </c>
      <c r="F20" s="21" t="s">
        <v>16</v>
      </c>
      <c r="G20" s="22" t="s">
        <v>17</v>
      </c>
    </row>
    <row r="21" spans="1:13" ht="21" hidden="1" customHeight="1" outlineLevel="1" thickBot="1" x14ac:dyDescent="0.25">
      <c r="A21" s="23">
        <v>0</v>
      </c>
      <c r="B21" s="14">
        <v>12.16</v>
      </c>
      <c r="F21" s="24">
        <v>0</v>
      </c>
      <c r="G21" s="14">
        <v>15.13</v>
      </c>
    </row>
    <row r="22" spans="1:13" ht="20.25" hidden="1" customHeight="1" outlineLevel="1" x14ac:dyDescent="0.2">
      <c r="A22" s="23">
        <v>100000</v>
      </c>
      <c r="B22" s="14">
        <v>12.16</v>
      </c>
      <c r="F22" s="24">
        <v>100000</v>
      </c>
      <c r="G22" s="14">
        <v>15.13</v>
      </c>
    </row>
    <row r="23" spans="1:13" ht="20.25" hidden="1" customHeight="1" outlineLevel="1" x14ac:dyDescent="0.2">
      <c r="A23" s="24">
        <v>125000</v>
      </c>
      <c r="B23" s="14">
        <v>11.78</v>
      </c>
      <c r="F23" s="24">
        <v>125000</v>
      </c>
      <c r="G23" s="14">
        <v>14.66</v>
      </c>
    </row>
    <row r="24" spans="1:13" ht="20.25" hidden="1" customHeight="1" outlineLevel="1" x14ac:dyDescent="0.2">
      <c r="A24" s="24">
        <v>150000</v>
      </c>
      <c r="B24" s="14">
        <v>11.48</v>
      </c>
      <c r="F24" s="24">
        <v>150000</v>
      </c>
      <c r="G24" s="14">
        <v>14.29</v>
      </c>
    </row>
    <row r="25" spans="1:13" ht="12.75" hidden="1" customHeight="1" outlineLevel="1" x14ac:dyDescent="0.2">
      <c r="A25" s="24">
        <v>175000</v>
      </c>
      <c r="B25" s="14">
        <v>11.24</v>
      </c>
      <c r="F25" s="24">
        <v>175000</v>
      </c>
      <c r="G25" s="14">
        <v>13.98</v>
      </c>
    </row>
    <row r="26" spans="1:13" ht="12.75" hidden="1" customHeight="1" outlineLevel="1" x14ac:dyDescent="0.2">
      <c r="A26" s="24">
        <v>200000</v>
      </c>
      <c r="B26" s="14">
        <v>11.03</v>
      </c>
      <c r="F26" s="24">
        <v>200000</v>
      </c>
      <c r="G26" s="14">
        <v>13.72</v>
      </c>
    </row>
    <row r="27" spans="1:13" ht="12.75" hidden="1" customHeight="1" outlineLevel="1" x14ac:dyDescent="0.2">
      <c r="A27" s="24">
        <v>225000</v>
      </c>
      <c r="B27" s="14">
        <v>10.85</v>
      </c>
      <c r="F27" s="24">
        <v>225000</v>
      </c>
      <c r="G27" s="14">
        <v>13.5</v>
      </c>
    </row>
    <row r="28" spans="1:13" ht="12.75" hidden="1" customHeight="1" outlineLevel="1" x14ac:dyDescent="0.2">
      <c r="A28" s="24">
        <v>250000</v>
      </c>
      <c r="B28" s="14">
        <v>10.69</v>
      </c>
      <c r="F28" s="24">
        <v>250000</v>
      </c>
      <c r="G28" s="14">
        <v>13.3</v>
      </c>
    </row>
    <row r="29" spans="1:13" ht="12.75" hidden="1" customHeight="1" outlineLevel="1" x14ac:dyDescent="0.2">
      <c r="A29" s="24">
        <v>300000</v>
      </c>
      <c r="B29" s="14">
        <v>10.42</v>
      </c>
      <c r="F29" s="24">
        <v>300000</v>
      </c>
      <c r="G29" s="14">
        <v>12.96</v>
      </c>
    </row>
    <row r="30" spans="1:13" ht="12.75" hidden="1" customHeight="1" outlineLevel="1" x14ac:dyDescent="0.2">
      <c r="A30" s="24">
        <v>350000</v>
      </c>
      <c r="B30" s="14">
        <v>10.19</v>
      </c>
      <c r="F30" s="24">
        <v>350000</v>
      </c>
      <c r="G30" s="14">
        <v>12.68</v>
      </c>
    </row>
    <row r="31" spans="1:13" ht="12.75" hidden="1" customHeight="1" outlineLevel="1" x14ac:dyDescent="0.2">
      <c r="A31" s="24">
        <v>400000</v>
      </c>
      <c r="B31" s="14">
        <v>10</v>
      </c>
      <c r="F31" s="24">
        <v>400000</v>
      </c>
      <c r="G31" s="14">
        <v>12.45</v>
      </c>
    </row>
    <row r="32" spans="1:13" ht="12.75" hidden="1" customHeight="1" outlineLevel="1" x14ac:dyDescent="0.2">
      <c r="A32" s="24">
        <v>450000</v>
      </c>
      <c r="B32" s="14">
        <v>9.84</v>
      </c>
      <c r="F32" s="24">
        <v>450000</v>
      </c>
      <c r="G32" s="14">
        <v>12.24</v>
      </c>
    </row>
    <row r="33" spans="1:7" ht="12.75" hidden="1" customHeight="1" outlineLevel="1" x14ac:dyDescent="0.2">
      <c r="A33" s="24">
        <v>500000</v>
      </c>
      <c r="B33" s="14">
        <v>9.69</v>
      </c>
      <c r="F33" s="24">
        <v>500000</v>
      </c>
      <c r="G33" s="14">
        <v>12.06</v>
      </c>
    </row>
    <row r="34" spans="1:7" ht="12.75" hidden="1" customHeight="1" outlineLevel="1" x14ac:dyDescent="0.2">
      <c r="A34" s="24">
        <v>600000</v>
      </c>
      <c r="B34" s="14">
        <v>9.4499999999999993</v>
      </c>
      <c r="F34" s="24">
        <v>600000</v>
      </c>
      <c r="G34" s="14">
        <v>11.76</v>
      </c>
    </row>
    <row r="35" spans="1:7" ht="12.75" hidden="1" customHeight="1" outlineLevel="1" x14ac:dyDescent="0.2">
      <c r="A35" s="24">
        <v>700000</v>
      </c>
      <c r="B35" s="14">
        <v>9.25</v>
      </c>
      <c r="F35" s="24">
        <v>700000</v>
      </c>
      <c r="G35" s="14">
        <v>11.51</v>
      </c>
    </row>
    <row r="36" spans="1:7" ht="12.75" hidden="1" customHeight="1" outlineLevel="1" x14ac:dyDescent="0.2">
      <c r="A36" s="24">
        <v>800000</v>
      </c>
      <c r="B36" s="14">
        <v>9.07</v>
      </c>
      <c r="F36" s="24">
        <v>800000</v>
      </c>
      <c r="G36" s="14">
        <v>11.29</v>
      </c>
    </row>
    <row r="37" spans="1:7" ht="12.75" hidden="1" customHeight="1" outlineLevel="1" x14ac:dyDescent="0.2">
      <c r="A37" s="24">
        <v>900000</v>
      </c>
      <c r="B37" s="14">
        <v>8.92</v>
      </c>
      <c r="F37" s="24">
        <v>900000</v>
      </c>
      <c r="G37" s="14">
        <v>11.11</v>
      </c>
    </row>
    <row r="38" spans="1:7" ht="12.75" hidden="1" customHeight="1" outlineLevel="1" x14ac:dyDescent="0.2">
      <c r="A38" s="24">
        <v>1000000</v>
      </c>
      <c r="B38" s="14">
        <v>8.7899999999999991</v>
      </c>
      <c r="F38" s="24">
        <v>1000000</v>
      </c>
      <c r="G38" s="14">
        <v>10.94</v>
      </c>
    </row>
    <row r="39" spans="1:7" ht="12.75" hidden="1" customHeight="1" outlineLevel="1" x14ac:dyDescent="0.2">
      <c r="A39" s="24">
        <v>1250000</v>
      </c>
      <c r="B39" s="14">
        <v>8.52</v>
      </c>
      <c r="F39" s="24">
        <v>1250000</v>
      </c>
      <c r="G39" s="14">
        <v>10.6</v>
      </c>
    </row>
    <row r="40" spans="1:7" ht="12.75" hidden="1" customHeight="1" outlineLevel="1" x14ac:dyDescent="0.2">
      <c r="A40" s="24">
        <v>1500000</v>
      </c>
      <c r="B40" s="14">
        <v>8.31</v>
      </c>
      <c r="F40" s="24">
        <v>1500000</v>
      </c>
      <c r="G40" s="14">
        <v>10.34</v>
      </c>
    </row>
    <row r="41" spans="1:7" ht="12.75" hidden="1" customHeight="1" outlineLevel="1" x14ac:dyDescent="0.2">
      <c r="A41" s="24">
        <v>1750000</v>
      </c>
      <c r="B41" s="14">
        <v>8.1300000000000008</v>
      </c>
      <c r="F41" s="24">
        <v>1750000</v>
      </c>
      <c r="G41" s="14">
        <v>10.11</v>
      </c>
    </row>
    <row r="42" spans="1:7" ht="12.75" hidden="1" customHeight="1" outlineLevel="1" x14ac:dyDescent="0.2">
      <c r="A42" s="24">
        <v>2000000</v>
      </c>
      <c r="B42" s="14">
        <v>7.98</v>
      </c>
      <c r="F42" s="24">
        <v>2000000</v>
      </c>
      <c r="G42" s="14">
        <v>9.93</v>
      </c>
    </row>
    <row r="43" spans="1:7" ht="12.75" hidden="1" customHeight="1" outlineLevel="1" x14ac:dyDescent="0.2">
      <c r="A43" s="24">
        <v>2250000</v>
      </c>
      <c r="B43" s="14">
        <v>7.84</v>
      </c>
      <c r="F43" s="24">
        <v>2250000</v>
      </c>
      <c r="G43" s="14">
        <v>9.76</v>
      </c>
    </row>
    <row r="44" spans="1:7" ht="12.75" hidden="1" customHeight="1" outlineLevel="1" x14ac:dyDescent="0.2">
      <c r="A44" s="24">
        <v>2500000</v>
      </c>
      <c r="B44" s="14">
        <v>7.73</v>
      </c>
      <c r="F44" s="24">
        <v>2500000</v>
      </c>
      <c r="G44" s="14">
        <v>9.6199999999999992</v>
      </c>
    </row>
    <row r="45" spans="1:7" ht="12.75" hidden="1" customHeight="1" outlineLevel="1" x14ac:dyDescent="0.2">
      <c r="A45" s="24">
        <v>3000000</v>
      </c>
      <c r="B45" s="14">
        <v>7.53</v>
      </c>
      <c r="F45" s="24">
        <v>3000000</v>
      </c>
      <c r="G45" s="14">
        <v>9.3800000000000008</v>
      </c>
    </row>
    <row r="46" spans="1:7" ht="12.75" hidden="1" customHeight="1" outlineLevel="1" x14ac:dyDescent="0.2">
      <c r="A46" s="24">
        <v>3500000</v>
      </c>
      <c r="B46" s="14">
        <v>7.37</v>
      </c>
      <c r="F46" s="24">
        <v>3500000</v>
      </c>
      <c r="G46" s="14">
        <v>9.18</v>
      </c>
    </row>
    <row r="47" spans="1:7" ht="12.75" hidden="1" customHeight="1" outlineLevel="1" x14ac:dyDescent="0.2">
      <c r="A47" s="24">
        <v>4000000</v>
      </c>
      <c r="B47" s="14">
        <v>7.23</v>
      </c>
      <c r="F47" s="24">
        <v>4000000</v>
      </c>
      <c r="G47" s="14">
        <v>9</v>
      </c>
    </row>
    <row r="48" spans="1:7" ht="12.75" hidden="1" customHeight="1" outlineLevel="1" x14ac:dyDescent="0.2">
      <c r="A48" s="24">
        <v>5000000</v>
      </c>
      <c r="B48" s="14">
        <v>7.01</v>
      </c>
      <c r="F48" s="24">
        <v>5000000</v>
      </c>
      <c r="G48" s="14">
        <v>8.73</v>
      </c>
    </row>
    <row r="49" spans="1:12" ht="12.75" hidden="1" customHeight="1" outlineLevel="1" x14ac:dyDescent="0.2">
      <c r="A49" s="24">
        <v>6000000</v>
      </c>
      <c r="B49" s="14">
        <v>6.83</v>
      </c>
      <c r="F49" s="24">
        <v>6000000</v>
      </c>
      <c r="G49" s="14">
        <v>8.51</v>
      </c>
    </row>
    <row r="50" spans="1:12" ht="12.75" hidden="1" customHeight="1" outlineLevel="1" x14ac:dyDescent="0.2">
      <c r="A50" s="24">
        <v>7000000</v>
      </c>
      <c r="B50" s="14">
        <v>6.69</v>
      </c>
      <c r="F50" s="24">
        <v>7000000</v>
      </c>
      <c r="G50" s="14">
        <v>8.32</v>
      </c>
    </row>
    <row r="51" spans="1:12" ht="12.75" hidden="1" customHeight="1" outlineLevel="1" x14ac:dyDescent="0.2">
      <c r="A51" s="24">
        <v>8000000</v>
      </c>
      <c r="B51" s="14">
        <v>6.56</v>
      </c>
      <c r="F51" s="24">
        <v>8000000</v>
      </c>
      <c r="G51" s="14">
        <v>8.17</v>
      </c>
    </row>
    <row r="52" spans="1:12" ht="12.75" hidden="1" customHeight="1" outlineLevel="1" x14ac:dyDescent="0.2">
      <c r="A52" s="24">
        <v>9000000</v>
      </c>
      <c r="B52" s="14">
        <v>6.45</v>
      </c>
      <c r="F52" s="24">
        <v>9000000</v>
      </c>
      <c r="G52" s="14">
        <v>8.0299999999999994</v>
      </c>
    </row>
    <row r="53" spans="1:12" ht="12.75" hidden="1" customHeight="1" outlineLevel="1" x14ac:dyDescent="0.2">
      <c r="A53" s="24">
        <v>10000000</v>
      </c>
      <c r="B53" s="14">
        <v>6.36</v>
      </c>
      <c r="F53" s="24">
        <v>10000000</v>
      </c>
      <c r="G53" s="14">
        <v>7.92</v>
      </c>
    </row>
    <row r="54" spans="1:12" ht="12.75" hidden="1" customHeight="1" outlineLevel="1" x14ac:dyDescent="0.2">
      <c r="A54" s="24">
        <v>11000000</v>
      </c>
      <c r="B54" s="14">
        <v>6.27</v>
      </c>
      <c r="F54" s="24">
        <v>11000000</v>
      </c>
      <c r="G54" s="14">
        <v>7.81</v>
      </c>
    </row>
    <row r="55" spans="1:12" ht="12.75" hidden="1" customHeight="1" outlineLevel="1" x14ac:dyDescent="0.2">
      <c r="A55" s="24">
        <v>12000000</v>
      </c>
      <c r="B55" s="14">
        <v>6.2</v>
      </c>
      <c r="F55" s="24">
        <v>12000000</v>
      </c>
      <c r="G55" s="14">
        <v>7.72</v>
      </c>
    </row>
    <row r="56" spans="1:12" ht="12.75" hidden="1" customHeight="1" outlineLevel="1" x14ac:dyDescent="0.2">
      <c r="A56" s="24">
        <v>13000000</v>
      </c>
      <c r="B56" s="14">
        <v>6.13</v>
      </c>
      <c r="F56" s="24">
        <v>13000000</v>
      </c>
      <c r="G56" s="14">
        <v>7.63</v>
      </c>
    </row>
    <row r="57" spans="1:12" ht="12.75" hidden="1" customHeight="1" outlineLevel="1" x14ac:dyDescent="0.2">
      <c r="A57" s="24">
        <v>14000000</v>
      </c>
      <c r="B57" s="14">
        <v>6.07</v>
      </c>
      <c r="F57" s="24">
        <v>14000000</v>
      </c>
      <c r="G57" s="14">
        <v>7.55</v>
      </c>
    </row>
    <row r="58" spans="1:12" ht="13.5" hidden="1" customHeight="1" outlineLevel="1" thickBot="1" x14ac:dyDescent="0.25">
      <c r="A58" s="16">
        <v>15000000</v>
      </c>
      <c r="B58" s="25">
        <v>6.01</v>
      </c>
      <c r="F58" s="16">
        <v>15000000</v>
      </c>
      <c r="G58" s="25">
        <v>7.48</v>
      </c>
    </row>
    <row r="59" spans="1:12" ht="49.15" customHeight="1" collapsed="1" x14ac:dyDescent="0.2">
      <c r="A59" s="366" t="s">
        <v>158</v>
      </c>
      <c r="B59" s="366"/>
      <c r="C59" s="366"/>
      <c r="D59" s="366"/>
      <c r="E59" s="366"/>
      <c r="F59" s="366"/>
      <c r="G59" s="366"/>
    </row>
    <row r="60" spans="1:12" ht="13.5" customHeight="1" thickBot="1" x14ac:dyDescent="0.25">
      <c r="A60" s="50"/>
      <c r="B60" s="84"/>
      <c r="F60" s="50"/>
      <c r="G60" s="84"/>
    </row>
    <row r="61" spans="1:12" ht="12.75" customHeight="1" thickBot="1" x14ac:dyDescent="0.25">
      <c r="A61" s="365" t="s">
        <v>160</v>
      </c>
      <c r="B61" s="365"/>
      <c r="C61" s="365"/>
      <c r="D61" s="365"/>
      <c r="E61" s="365"/>
      <c r="F61" s="365"/>
      <c r="G61" s="365"/>
      <c r="I61" s="26" t="s">
        <v>18</v>
      </c>
      <c r="J61" s="27">
        <f>J7+J17</f>
        <v>200882</v>
      </c>
      <c r="K61" s="28">
        <f>K7+K8+K17</f>
        <v>8.3700833333333335</v>
      </c>
      <c r="L61" s="57">
        <f>K61*L70/100</f>
        <v>8.3979989037634331E-2</v>
      </c>
    </row>
    <row r="62" spans="1:12" x14ac:dyDescent="0.2">
      <c r="A62" s="365"/>
      <c r="B62" s="365"/>
      <c r="C62" s="365"/>
      <c r="D62" s="365"/>
      <c r="E62" s="365"/>
      <c r="F62" s="365"/>
      <c r="G62" s="365"/>
      <c r="I62" s="1" t="s">
        <v>152</v>
      </c>
      <c r="J62" s="1" t="s">
        <v>32</v>
      </c>
      <c r="K62" s="1" t="s">
        <v>32</v>
      </c>
    </row>
    <row r="63" spans="1:12" x14ac:dyDescent="0.2">
      <c r="A63" s="137"/>
      <c r="B63" s="137"/>
      <c r="C63" s="31"/>
      <c r="D63" s="31"/>
      <c r="E63" s="31"/>
      <c r="F63" s="31"/>
      <c r="G63" s="31"/>
      <c r="I63" t="s">
        <v>31</v>
      </c>
      <c r="J63" t="s">
        <v>32</v>
      </c>
      <c r="K63" t="s">
        <v>32</v>
      </c>
    </row>
    <row r="64" spans="1:12" x14ac:dyDescent="0.2">
      <c r="A64" s="354" t="s">
        <v>162</v>
      </c>
      <c r="B64" s="355"/>
      <c r="C64" s="355"/>
      <c r="D64" s="355"/>
      <c r="E64" s="355"/>
      <c r="F64" s="355"/>
      <c r="G64" s="355"/>
      <c r="I64" s="1" t="s">
        <v>19</v>
      </c>
      <c r="J64" s="29">
        <f>B7*K64%</f>
        <v>7200</v>
      </c>
      <c r="K64" s="12">
        <v>0.3</v>
      </c>
      <c r="L64" s="57">
        <f>K64*L70/100</f>
        <v>3.0100054811828198E-3</v>
      </c>
    </row>
    <row r="65" spans="1:12" x14ac:dyDescent="0.2">
      <c r="A65" s="355"/>
      <c r="B65" s="355"/>
      <c r="C65" s="355"/>
      <c r="D65" s="355"/>
      <c r="E65" s="355"/>
      <c r="F65" s="355"/>
      <c r="G65" s="355"/>
      <c r="I65" t="s">
        <v>166</v>
      </c>
      <c r="J65" s="29">
        <f>B7*K65%</f>
        <v>7200</v>
      </c>
      <c r="K65" s="30">
        <v>0.3</v>
      </c>
      <c r="L65" s="57">
        <f>K65*L70/100</f>
        <v>3.0100054811828198E-3</v>
      </c>
    </row>
    <row r="66" spans="1:12" ht="28.9" customHeight="1" x14ac:dyDescent="0.2">
      <c r="A66" s="355"/>
      <c r="B66" s="355"/>
      <c r="C66" s="355"/>
      <c r="D66" s="355"/>
      <c r="E66" s="355"/>
      <c r="F66" s="355"/>
      <c r="G66" s="355"/>
      <c r="I66" s="40" t="s">
        <v>167</v>
      </c>
      <c r="J66" s="29">
        <f>B7*K66%</f>
        <v>0</v>
      </c>
      <c r="K66" s="1">
        <v>0</v>
      </c>
      <c r="L66" s="57">
        <f>K66*L70/100</f>
        <v>0</v>
      </c>
    </row>
    <row r="67" spans="1:12" ht="13.5" thickBot="1" x14ac:dyDescent="0.25">
      <c r="A67" s="137"/>
      <c r="B67" s="137"/>
      <c r="I67" s="226" t="s">
        <v>170</v>
      </c>
      <c r="J67" s="29">
        <f>K67%*B7</f>
        <v>0</v>
      </c>
      <c r="K67" s="225">
        <v>0</v>
      </c>
      <c r="L67" s="57">
        <f>K67*L70/100</f>
        <v>0</v>
      </c>
    </row>
    <row r="68" spans="1:12" ht="27.6" customHeight="1" thickBot="1" x14ac:dyDescent="0.25">
      <c r="A68" s="354" t="s">
        <v>191</v>
      </c>
      <c r="B68" s="355"/>
      <c r="C68" s="355"/>
      <c r="D68" s="355"/>
      <c r="E68" s="355"/>
      <c r="F68" s="355"/>
      <c r="G68" s="355"/>
      <c r="I68" s="26" t="s">
        <v>8</v>
      </c>
      <c r="J68" s="27">
        <f>SUM(J61:J67)</f>
        <v>215282</v>
      </c>
      <c r="K68" s="32">
        <f>SUM(K61:K67)</f>
        <v>8.970083333333335</v>
      </c>
      <c r="L68" s="138">
        <f>K70/100</f>
        <v>0.09</v>
      </c>
    </row>
    <row r="69" spans="1:12" ht="13.5" thickBot="1" x14ac:dyDescent="0.25">
      <c r="A69" s="137"/>
      <c r="B69" s="137"/>
      <c r="L69" s="56" t="s">
        <v>26</v>
      </c>
    </row>
    <row r="70" spans="1:12" ht="31.15" customHeight="1" x14ac:dyDescent="0.2">
      <c r="A70" s="354" t="s">
        <v>168</v>
      </c>
      <c r="B70" s="355"/>
      <c r="C70" s="355"/>
      <c r="D70" s="355"/>
      <c r="E70" s="355"/>
      <c r="F70" s="355"/>
      <c r="G70" s="355"/>
      <c r="I70" s="33" t="s">
        <v>20</v>
      </c>
      <c r="J70" s="34"/>
      <c r="K70" s="197">
        <f>ROUND(K68,0)</f>
        <v>9</v>
      </c>
      <c r="L70" s="56">
        <f>K70/K68</f>
        <v>1.0033351603942733</v>
      </c>
    </row>
    <row r="71" spans="1:12" ht="13.5" thickBot="1" x14ac:dyDescent="0.25">
      <c r="I71" s="35" t="s">
        <v>21</v>
      </c>
      <c r="J71" s="36"/>
      <c r="K71" s="169">
        <f>B7*K70/100</f>
        <v>216000</v>
      </c>
    </row>
  </sheetData>
  <sheetProtection selectLockedCells="1" selectUnlockedCells="1"/>
  <mergeCells count="15">
    <mergeCell ref="A1:J1"/>
    <mergeCell ref="A4:I4"/>
    <mergeCell ref="J4:K5"/>
    <mergeCell ref="A61:G62"/>
    <mergeCell ref="A64:G66"/>
    <mergeCell ref="A59:G59"/>
    <mergeCell ref="A70:G70"/>
    <mergeCell ref="L4:M4"/>
    <mergeCell ref="A5:B5"/>
    <mergeCell ref="C3:E3"/>
    <mergeCell ref="A15:D15"/>
    <mergeCell ref="F15:I15"/>
    <mergeCell ref="J15:K15"/>
    <mergeCell ref="A68:G68"/>
    <mergeCell ref="A6:B6"/>
  </mergeCells>
  <pageMargins left="0.23622047244094491" right="0.19685039370078741" top="0.74803149606299213" bottom="0.74803149606299213" header="0.31496062992125984" footer="0.31496062992125984"/>
  <pageSetup paperSize="9" firstPageNumber="0" orientation="landscape"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4"/>
  <sheetViews>
    <sheetView zoomScale="70" zoomScaleNormal="70" workbookViewId="0">
      <selection activeCell="B7" sqref="B7"/>
    </sheetView>
  </sheetViews>
  <sheetFormatPr baseColWidth="10" defaultColWidth="14.85546875" defaultRowHeight="12.75" outlineLevelRow="1" x14ac:dyDescent="0.2"/>
  <cols>
    <col min="1" max="6" width="14.7109375" style="1" customWidth="1"/>
    <col min="7" max="7" width="22.42578125" style="1" customWidth="1"/>
    <col min="8" max="8" width="14.7109375" style="1" customWidth="1"/>
    <col min="9" max="9" width="20.7109375" style="1" customWidth="1"/>
    <col min="10" max="11" width="14.7109375" style="1" customWidth="1"/>
    <col min="12" max="12" width="14.85546875" style="1"/>
    <col min="13" max="13" width="23.140625" style="1" customWidth="1"/>
    <col min="14" max="16384" width="14.85546875" style="1"/>
  </cols>
  <sheetData>
    <row r="1" spans="1:13" x14ac:dyDescent="0.2">
      <c r="A1" s="363" t="s">
        <v>182</v>
      </c>
      <c r="B1" s="363"/>
      <c r="C1" s="363"/>
      <c r="D1" s="363"/>
      <c r="E1" s="363"/>
      <c r="F1" s="363"/>
      <c r="G1" s="363"/>
      <c r="H1" s="363"/>
      <c r="I1" s="363"/>
      <c r="J1" s="363"/>
    </row>
    <row r="3" spans="1:13" ht="13.5" thickBot="1" x14ac:dyDescent="0.25">
      <c r="A3" s="1" t="str">
        <f>Détail!A2</f>
        <v>Intitulé du marché:</v>
      </c>
      <c r="C3" s="370" t="str">
        <f>Détail!B2</f>
        <v>VILLE_Projet de xxxxxxxxxxxxxxxxxxxxxxxxxxxxxxxxxxxxxx</v>
      </c>
      <c r="D3" s="370"/>
      <c r="E3" s="370"/>
    </row>
    <row r="4" spans="1:13" ht="12.75" customHeight="1" thickBot="1" x14ac:dyDescent="0.25">
      <c r="A4" s="360" t="s">
        <v>0</v>
      </c>
      <c r="B4" s="360"/>
      <c r="C4" s="360"/>
      <c r="D4" s="360"/>
      <c r="E4" s="360"/>
      <c r="F4" s="360"/>
      <c r="G4" s="360"/>
      <c r="H4" s="360"/>
      <c r="I4" s="360"/>
      <c r="J4" s="364" t="s">
        <v>95</v>
      </c>
      <c r="K4" s="364"/>
      <c r="L4" s="356" t="s">
        <v>28</v>
      </c>
      <c r="M4" s="357"/>
    </row>
    <row r="5" spans="1:13" ht="26.25" thickBot="1" x14ac:dyDescent="0.25">
      <c r="A5" s="358" t="s">
        <v>1</v>
      </c>
      <c r="B5" s="358"/>
      <c r="C5" s="69" t="s">
        <v>2</v>
      </c>
      <c r="D5" s="69" t="s">
        <v>3</v>
      </c>
      <c r="E5" s="69" t="s">
        <v>4</v>
      </c>
      <c r="F5" s="2" t="s">
        <v>5</v>
      </c>
      <c r="G5" s="69" t="s">
        <v>6</v>
      </c>
      <c r="H5" s="2" t="s">
        <v>7</v>
      </c>
      <c r="I5" s="69" t="s">
        <v>8</v>
      </c>
      <c r="J5" s="364"/>
      <c r="K5" s="364"/>
    </row>
    <row r="6" spans="1:13" ht="12.75" customHeight="1" thickBot="1" x14ac:dyDescent="0.25">
      <c r="A6" s="362" t="s">
        <v>9</v>
      </c>
      <c r="B6" s="362"/>
      <c r="C6" s="3">
        <v>7.0000000000000007E-2</v>
      </c>
      <c r="D6" s="4">
        <v>6.5000000000000002E-2</v>
      </c>
      <c r="E6" s="5">
        <v>0.06</v>
      </c>
      <c r="F6" s="4">
        <v>5.5E-2</v>
      </c>
      <c r="G6" s="4">
        <v>5.2499999999999998E-2</v>
      </c>
      <c r="H6" s="5">
        <v>0.05</v>
      </c>
      <c r="I6" s="6"/>
      <c r="J6" s="37" t="s">
        <v>96</v>
      </c>
      <c r="K6" s="68" t="s">
        <v>10</v>
      </c>
    </row>
    <row r="7" spans="1:13" ht="13.5" thickBot="1" x14ac:dyDescent="0.25">
      <c r="A7" s="7" t="s">
        <v>11</v>
      </c>
      <c r="B7" s="194">
        <f>Détail!C44</f>
        <v>2400000</v>
      </c>
      <c r="C7" s="8">
        <f>IF($B7&gt;$A$9,$A$9*$C$6,$B7*$C$6)</f>
        <v>11200.000000000002</v>
      </c>
      <c r="D7" s="9">
        <f>IF($B7&gt;$A$10,($A$10-$A$9)*$D$6,IF($B7&gt;$A$9,($B7-$A$9)*$D$6,0))</f>
        <v>25350</v>
      </c>
      <c r="E7" s="9">
        <f>IF($B7&gt;$A$11,($A$11-$A$10)*$E$6,IF($B7&gt;$A$10,($B7-$A$10)*$E$6,0))</f>
        <v>51000</v>
      </c>
      <c r="F7" s="9">
        <f>IF($B7&gt;$A$12,($A$12-$A$11)*$F$6,IF($B7&gt;$A$11,($B7-$A$11)*$F$6,0))</f>
        <v>55000</v>
      </c>
      <c r="G7" s="9">
        <f>IF($B7&gt;$A$13,($A$13-$A$12)*$G$6,IF($B7&gt;$A$12,($B7-$A$12)*$G$6,0))</f>
        <v>0</v>
      </c>
      <c r="H7" s="9">
        <f>IF($B7&gt;$A$13,($B7-$A$13)*$H$6,0)</f>
        <v>0</v>
      </c>
      <c r="I7" s="10">
        <f>SUM(C7:H7)</f>
        <v>142550</v>
      </c>
      <c r="J7" s="38">
        <f>(B7*K7)/100</f>
        <v>142550</v>
      </c>
      <c r="K7" s="11">
        <f>(I7/B7)*100</f>
        <v>5.9395833333333332</v>
      </c>
      <c r="L7" s="57">
        <f>K7*L70/100</f>
        <v>5.9503570859358985E-2</v>
      </c>
    </row>
    <row r="8" spans="1:13" x14ac:dyDescent="0.2">
      <c r="B8" s="84" t="s">
        <v>241</v>
      </c>
      <c r="I8" s="62" t="s">
        <v>157</v>
      </c>
      <c r="J8" s="223">
        <v>0</v>
      </c>
      <c r="K8" s="12">
        <f>J8/B7*100</f>
        <v>0</v>
      </c>
    </row>
    <row r="9" spans="1:13" hidden="1" outlineLevel="1" x14ac:dyDescent="0.2">
      <c r="A9" s="1">
        <v>160000</v>
      </c>
      <c r="C9" s="12"/>
      <c r="D9" s="12"/>
      <c r="E9" s="12"/>
      <c r="F9" s="12"/>
    </row>
    <row r="10" spans="1:13" hidden="1" outlineLevel="1" x14ac:dyDescent="0.2">
      <c r="A10" s="1">
        <v>550000</v>
      </c>
    </row>
    <row r="11" spans="1:13" hidden="1" outlineLevel="1" x14ac:dyDescent="0.2">
      <c r="A11" s="1">
        <v>1400000</v>
      </c>
    </row>
    <row r="12" spans="1:13" hidden="1" outlineLevel="1" x14ac:dyDescent="0.2">
      <c r="A12" s="1">
        <v>5500000</v>
      </c>
    </row>
    <row r="13" spans="1:13" hidden="1" outlineLevel="1" x14ac:dyDescent="0.2">
      <c r="A13" s="1">
        <v>16600000</v>
      </c>
    </row>
    <row r="14" spans="1:13" ht="13.5" collapsed="1" thickBot="1" x14ac:dyDescent="0.25"/>
    <row r="15" spans="1:13" ht="13.5" thickBot="1" x14ac:dyDescent="0.25">
      <c r="A15" s="360" t="s">
        <v>164</v>
      </c>
      <c r="B15" s="360"/>
      <c r="C15" s="360"/>
      <c r="D15" s="360"/>
      <c r="F15" s="360" t="s">
        <v>165</v>
      </c>
      <c r="G15" s="360"/>
      <c r="H15" s="360"/>
      <c r="I15" s="360"/>
      <c r="J15" s="361" t="s">
        <v>8</v>
      </c>
      <c r="K15" s="361"/>
    </row>
    <row r="16" spans="1:13" ht="26.25" thickBot="1" x14ac:dyDescent="0.25">
      <c r="A16" s="69" t="s">
        <v>99</v>
      </c>
      <c r="B16" s="133" t="s">
        <v>101</v>
      </c>
      <c r="C16" s="69" t="s">
        <v>13</v>
      </c>
      <c r="D16" s="134" t="s">
        <v>14</v>
      </c>
      <c r="F16" s="69" t="s">
        <v>12</v>
      </c>
      <c r="G16" s="134" t="s">
        <v>101</v>
      </c>
      <c r="H16" s="134" t="s">
        <v>13</v>
      </c>
      <c r="I16" s="134" t="s">
        <v>14</v>
      </c>
      <c r="J16" s="13"/>
      <c r="K16" s="14"/>
      <c r="L16" s="135" t="s">
        <v>29</v>
      </c>
      <c r="M16" s="135" t="s">
        <v>30</v>
      </c>
    </row>
    <row r="17" spans="1:13" ht="13.5" thickBot="1" x14ac:dyDescent="0.25">
      <c r="A17" s="15">
        <f>B7</f>
        <v>2400000</v>
      </c>
      <c r="B17" s="16">
        <f>A17*15%</f>
        <v>360000</v>
      </c>
      <c r="C17" s="17">
        <f>VLOOKUP(B17,A20:B58,2,TRUE)</f>
        <v>13.59</v>
      </c>
      <c r="D17" s="18">
        <f>(B17*C17)/100</f>
        <v>48924</v>
      </c>
      <c r="F17" s="15">
        <f>B7</f>
        <v>2400000</v>
      </c>
      <c r="G17" s="18">
        <f>F17*15%</f>
        <v>360000</v>
      </c>
      <c r="H17" s="19">
        <f>VLOOKUP(G17,F20:G58,2,TRUE)</f>
        <v>12.68</v>
      </c>
      <c r="I17" s="18">
        <f>(G17*H17)/100</f>
        <v>45648</v>
      </c>
      <c r="J17" s="20">
        <f>I17+D17</f>
        <v>94572</v>
      </c>
      <c r="K17" s="39">
        <f>(J17/B7)*100</f>
        <v>3.9405000000000001</v>
      </c>
      <c r="L17" s="57">
        <f>C18*L70</f>
        <v>2.0421976153793608E-2</v>
      </c>
      <c r="M17" s="57">
        <f>H18*L70</f>
        <v>1.9054500193532227E-2</v>
      </c>
    </row>
    <row r="18" spans="1:13" x14ac:dyDescent="0.2">
      <c r="A18" s="49"/>
      <c r="B18" s="52" t="s">
        <v>27</v>
      </c>
      <c r="C18" s="53">
        <f>D17/B7</f>
        <v>2.0385E-2</v>
      </c>
      <c r="D18" s="50"/>
      <c r="F18" s="49"/>
      <c r="G18" s="52" t="s">
        <v>27</v>
      </c>
      <c r="H18" s="53">
        <f>I17/B7</f>
        <v>1.9019999999999999E-2</v>
      </c>
      <c r="I18" s="50"/>
      <c r="J18" s="51"/>
      <c r="K18" s="30"/>
    </row>
    <row r="20" spans="1:13" ht="13.5" hidden="1" outlineLevel="1" thickBot="1" x14ac:dyDescent="0.25">
      <c r="A20" s="21" t="s">
        <v>16</v>
      </c>
      <c r="B20" s="22" t="s">
        <v>22</v>
      </c>
      <c r="F20" s="21" t="s">
        <v>16</v>
      </c>
      <c r="G20" s="22" t="s">
        <v>17</v>
      </c>
    </row>
    <row r="21" spans="1:13" ht="13.5" hidden="1" outlineLevel="1" thickBot="1" x14ac:dyDescent="0.25">
      <c r="A21" s="54">
        <v>0</v>
      </c>
      <c r="B21" s="14">
        <v>16.21</v>
      </c>
      <c r="F21" s="55">
        <v>0</v>
      </c>
      <c r="G21" s="14">
        <v>15.13</v>
      </c>
    </row>
    <row r="22" spans="1:13" hidden="1" outlineLevel="1" x14ac:dyDescent="0.2">
      <c r="A22" s="23">
        <v>100000</v>
      </c>
      <c r="B22" s="14">
        <v>16.21</v>
      </c>
      <c r="F22" s="24">
        <v>100000</v>
      </c>
      <c r="G22" s="14">
        <v>15.13</v>
      </c>
    </row>
    <row r="23" spans="1:13" hidden="1" outlineLevel="1" x14ac:dyDescent="0.2">
      <c r="A23" s="24">
        <v>125000</v>
      </c>
      <c r="B23" s="14">
        <v>15.71</v>
      </c>
      <c r="F23" s="24">
        <v>125000</v>
      </c>
      <c r="G23" s="14">
        <v>14.66</v>
      </c>
    </row>
    <row r="24" spans="1:13" hidden="1" outlineLevel="1" x14ac:dyDescent="0.2">
      <c r="A24" s="24">
        <v>150000</v>
      </c>
      <c r="B24" s="14">
        <v>15.31</v>
      </c>
      <c r="F24" s="24">
        <v>150000</v>
      </c>
      <c r="G24" s="14">
        <v>14.29</v>
      </c>
    </row>
    <row r="25" spans="1:13" hidden="1" outlineLevel="1" x14ac:dyDescent="0.2">
      <c r="A25" s="24">
        <v>175000</v>
      </c>
      <c r="B25" s="14">
        <v>14.98</v>
      </c>
      <c r="F25" s="24">
        <v>175000</v>
      </c>
      <c r="G25" s="14">
        <v>13.98</v>
      </c>
    </row>
    <row r="26" spans="1:13" hidden="1" outlineLevel="1" x14ac:dyDescent="0.2">
      <c r="A26" s="24">
        <v>200000</v>
      </c>
      <c r="B26" s="14">
        <v>14.7</v>
      </c>
      <c r="F26" s="24">
        <v>200000</v>
      </c>
      <c r="G26" s="14">
        <v>13.72</v>
      </c>
    </row>
    <row r="27" spans="1:13" hidden="1" outlineLevel="1" x14ac:dyDescent="0.2">
      <c r="A27" s="24">
        <v>225000</v>
      </c>
      <c r="B27" s="14">
        <v>14.46</v>
      </c>
      <c r="F27" s="24">
        <v>225000</v>
      </c>
      <c r="G27" s="14">
        <v>13.5</v>
      </c>
    </row>
    <row r="28" spans="1:13" hidden="1" outlineLevel="1" x14ac:dyDescent="0.2">
      <c r="A28" s="24">
        <v>250000</v>
      </c>
      <c r="B28" s="14">
        <v>14.25</v>
      </c>
      <c r="F28" s="24">
        <v>250000</v>
      </c>
      <c r="G28" s="14">
        <v>13.3</v>
      </c>
    </row>
    <row r="29" spans="1:13" hidden="1" outlineLevel="1" x14ac:dyDescent="0.2">
      <c r="A29" s="24">
        <v>300000</v>
      </c>
      <c r="B29" s="14">
        <v>13.89</v>
      </c>
      <c r="F29" s="24">
        <v>300000</v>
      </c>
      <c r="G29" s="14">
        <v>12.96</v>
      </c>
    </row>
    <row r="30" spans="1:13" hidden="1" outlineLevel="1" x14ac:dyDescent="0.2">
      <c r="A30" s="24">
        <v>350000</v>
      </c>
      <c r="B30" s="14">
        <v>13.59</v>
      </c>
      <c r="F30" s="24">
        <v>350000</v>
      </c>
      <c r="G30" s="14">
        <v>12.68</v>
      </c>
    </row>
    <row r="31" spans="1:13" hidden="1" outlineLevel="1" x14ac:dyDescent="0.2">
      <c r="A31" s="24">
        <v>400000</v>
      </c>
      <c r="B31" s="14">
        <v>13.34</v>
      </c>
      <c r="F31" s="24">
        <v>400000</v>
      </c>
      <c r="G31" s="14">
        <v>12.45</v>
      </c>
    </row>
    <row r="32" spans="1:13" hidden="1" outlineLevel="1" x14ac:dyDescent="0.2">
      <c r="A32" s="24">
        <v>450000</v>
      </c>
      <c r="B32" s="14">
        <v>13.12</v>
      </c>
      <c r="F32" s="24">
        <v>450000</v>
      </c>
      <c r="G32" s="14">
        <v>12.24</v>
      </c>
    </row>
    <row r="33" spans="1:7" hidden="1" outlineLevel="1" x14ac:dyDescent="0.2">
      <c r="A33" s="24">
        <v>500000</v>
      </c>
      <c r="B33" s="14">
        <v>12.92</v>
      </c>
      <c r="F33" s="24">
        <v>500000</v>
      </c>
      <c r="G33" s="14">
        <v>12.06</v>
      </c>
    </row>
    <row r="34" spans="1:7" hidden="1" outlineLevel="1" x14ac:dyDescent="0.2">
      <c r="A34" s="24">
        <v>600000</v>
      </c>
      <c r="B34" s="14">
        <v>12.6</v>
      </c>
      <c r="F34" s="24">
        <v>600000</v>
      </c>
      <c r="G34" s="14">
        <v>11.76</v>
      </c>
    </row>
    <row r="35" spans="1:7" hidden="1" outlineLevel="1" x14ac:dyDescent="0.2">
      <c r="A35" s="24">
        <v>700000</v>
      </c>
      <c r="B35" s="14">
        <v>12.33</v>
      </c>
      <c r="F35" s="24">
        <v>700000</v>
      </c>
      <c r="G35" s="14">
        <v>11.51</v>
      </c>
    </row>
    <row r="36" spans="1:7" hidden="1" outlineLevel="1" x14ac:dyDescent="0.2">
      <c r="A36" s="24">
        <v>800000</v>
      </c>
      <c r="B36" s="14">
        <v>12.1</v>
      </c>
      <c r="F36" s="24">
        <v>800000</v>
      </c>
      <c r="G36" s="14">
        <v>11.29</v>
      </c>
    </row>
    <row r="37" spans="1:7" hidden="1" outlineLevel="1" x14ac:dyDescent="0.2">
      <c r="A37" s="24">
        <v>900000</v>
      </c>
      <c r="B37" s="14">
        <v>11.9</v>
      </c>
      <c r="F37" s="24">
        <v>900000</v>
      </c>
      <c r="G37" s="14">
        <v>11.11</v>
      </c>
    </row>
    <row r="38" spans="1:7" hidden="1" outlineLevel="1" x14ac:dyDescent="0.2">
      <c r="A38" s="24">
        <v>1000000</v>
      </c>
      <c r="B38" s="14">
        <v>11.72</v>
      </c>
      <c r="F38" s="24">
        <v>1000000</v>
      </c>
      <c r="G38" s="14">
        <v>10.94</v>
      </c>
    </row>
    <row r="39" spans="1:7" hidden="1" outlineLevel="1" x14ac:dyDescent="0.2">
      <c r="A39" s="24">
        <v>1250000</v>
      </c>
      <c r="B39" s="14">
        <v>11.36</v>
      </c>
      <c r="F39" s="24">
        <v>1250000</v>
      </c>
      <c r="G39" s="14">
        <v>10.6</v>
      </c>
    </row>
    <row r="40" spans="1:7" hidden="1" outlineLevel="1" x14ac:dyDescent="0.2">
      <c r="A40" s="24">
        <v>1500000</v>
      </c>
      <c r="B40" s="14">
        <v>11.07</v>
      </c>
      <c r="F40" s="24">
        <v>1500000</v>
      </c>
      <c r="G40" s="14">
        <v>10.34</v>
      </c>
    </row>
    <row r="41" spans="1:7" hidden="1" outlineLevel="1" x14ac:dyDescent="0.2">
      <c r="A41" s="24">
        <v>1750000</v>
      </c>
      <c r="B41" s="14">
        <v>10.84</v>
      </c>
      <c r="F41" s="24">
        <v>1750000</v>
      </c>
      <c r="G41" s="14">
        <v>10.11</v>
      </c>
    </row>
    <row r="42" spans="1:7" hidden="1" outlineLevel="1" x14ac:dyDescent="0.2">
      <c r="A42" s="24">
        <v>2000000</v>
      </c>
      <c r="B42" s="14">
        <v>10.63</v>
      </c>
      <c r="F42" s="24">
        <v>2000000</v>
      </c>
      <c r="G42" s="14">
        <v>9.93</v>
      </c>
    </row>
    <row r="43" spans="1:7" hidden="1" outlineLevel="1" x14ac:dyDescent="0.2">
      <c r="A43" s="24">
        <v>2250000</v>
      </c>
      <c r="B43" s="14">
        <v>10.46</v>
      </c>
      <c r="F43" s="24">
        <v>2250000</v>
      </c>
      <c r="G43" s="14">
        <v>9.76</v>
      </c>
    </row>
    <row r="44" spans="1:7" hidden="1" outlineLevel="1" x14ac:dyDescent="0.2">
      <c r="A44" s="24">
        <v>2500000</v>
      </c>
      <c r="B44" s="14">
        <v>10.31</v>
      </c>
      <c r="F44" s="24">
        <v>2500000</v>
      </c>
      <c r="G44" s="14">
        <v>9.6199999999999992</v>
      </c>
    </row>
    <row r="45" spans="1:7" hidden="1" outlineLevel="1" x14ac:dyDescent="0.2">
      <c r="A45" s="24">
        <v>3000000</v>
      </c>
      <c r="B45" s="14">
        <v>10.039999999999999</v>
      </c>
      <c r="F45" s="24">
        <v>3000000</v>
      </c>
      <c r="G45" s="14">
        <v>9.3800000000000008</v>
      </c>
    </row>
    <row r="46" spans="1:7" hidden="1" outlineLevel="1" x14ac:dyDescent="0.2">
      <c r="A46" s="24">
        <v>3500000</v>
      </c>
      <c r="B46" s="14">
        <v>9.83</v>
      </c>
      <c r="F46" s="24">
        <v>3500000</v>
      </c>
      <c r="G46" s="14">
        <v>9.18</v>
      </c>
    </row>
    <row r="47" spans="1:7" hidden="1" outlineLevel="1" x14ac:dyDescent="0.2">
      <c r="A47" s="24">
        <v>4000000</v>
      </c>
      <c r="B47" s="14">
        <v>9.65</v>
      </c>
      <c r="F47" s="24">
        <v>4000000</v>
      </c>
      <c r="G47" s="14">
        <v>9</v>
      </c>
    </row>
    <row r="48" spans="1:7" hidden="1" outlineLevel="1" x14ac:dyDescent="0.2">
      <c r="A48" s="24">
        <v>5000000</v>
      </c>
      <c r="B48" s="14">
        <v>9.35</v>
      </c>
      <c r="F48" s="24">
        <v>5000000</v>
      </c>
      <c r="G48" s="14">
        <v>8.73</v>
      </c>
    </row>
    <row r="49" spans="1:12" hidden="1" outlineLevel="1" x14ac:dyDescent="0.2">
      <c r="A49" s="24">
        <v>6000000</v>
      </c>
      <c r="B49" s="14">
        <v>9.11</v>
      </c>
      <c r="F49" s="24">
        <v>6000000</v>
      </c>
      <c r="G49" s="14">
        <v>8.51</v>
      </c>
    </row>
    <row r="50" spans="1:12" hidden="1" outlineLevel="1" x14ac:dyDescent="0.2">
      <c r="A50" s="24">
        <v>7000000</v>
      </c>
      <c r="B50" s="14">
        <v>8.92</v>
      </c>
      <c r="F50" s="24">
        <v>7000000</v>
      </c>
      <c r="G50" s="14">
        <v>8.32</v>
      </c>
    </row>
    <row r="51" spans="1:12" hidden="1" outlineLevel="1" x14ac:dyDescent="0.2">
      <c r="A51" s="24">
        <v>8000000</v>
      </c>
      <c r="B51" s="14">
        <v>8.75</v>
      </c>
      <c r="F51" s="24">
        <v>8000000</v>
      </c>
      <c r="G51" s="14">
        <v>8.17</v>
      </c>
    </row>
    <row r="52" spans="1:12" hidden="1" outlineLevel="1" x14ac:dyDescent="0.2">
      <c r="A52" s="24">
        <v>9000000</v>
      </c>
      <c r="B52" s="14">
        <v>8.61</v>
      </c>
      <c r="F52" s="24">
        <v>9000000</v>
      </c>
      <c r="G52" s="14">
        <v>8.0299999999999994</v>
      </c>
    </row>
    <row r="53" spans="1:12" hidden="1" outlineLevel="1" x14ac:dyDescent="0.2">
      <c r="A53" s="24">
        <v>10000000</v>
      </c>
      <c r="B53" s="14">
        <v>8.48</v>
      </c>
      <c r="F53" s="24">
        <v>10000000</v>
      </c>
      <c r="G53" s="14">
        <v>7.92</v>
      </c>
    </row>
    <row r="54" spans="1:12" hidden="1" outlineLevel="1" x14ac:dyDescent="0.2">
      <c r="A54" s="24">
        <v>11000000</v>
      </c>
      <c r="B54" s="14">
        <v>8.3699999999999992</v>
      </c>
      <c r="F54" s="24">
        <v>11000000</v>
      </c>
      <c r="G54" s="14">
        <v>7.81</v>
      </c>
    </row>
    <row r="55" spans="1:12" hidden="1" outlineLevel="1" x14ac:dyDescent="0.2">
      <c r="A55" s="24">
        <v>12000000</v>
      </c>
      <c r="B55" s="14">
        <v>8.26</v>
      </c>
      <c r="F55" s="24">
        <v>12000000</v>
      </c>
      <c r="G55" s="14">
        <v>7.72</v>
      </c>
    </row>
    <row r="56" spans="1:12" hidden="1" outlineLevel="1" x14ac:dyDescent="0.2">
      <c r="A56" s="24">
        <v>13000000</v>
      </c>
      <c r="B56" s="14">
        <v>8.17</v>
      </c>
      <c r="F56" s="24">
        <v>13000000</v>
      </c>
      <c r="G56" s="14">
        <v>7.63</v>
      </c>
    </row>
    <row r="57" spans="1:12" hidden="1" outlineLevel="1" x14ac:dyDescent="0.2">
      <c r="A57" s="24">
        <v>14000000</v>
      </c>
      <c r="B57" s="14">
        <v>8.09</v>
      </c>
      <c r="F57" s="24">
        <v>14000000</v>
      </c>
      <c r="G57" s="14">
        <v>7.55</v>
      </c>
    </row>
    <row r="58" spans="1:12" ht="13.5" hidden="1" outlineLevel="1" thickBot="1" x14ac:dyDescent="0.25">
      <c r="A58" s="16">
        <v>15000000</v>
      </c>
      <c r="B58" s="25">
        <v>8.01</v>
      </c>
      <c r="F58" s="16">
        <v>15000000</v>
      </c>
      <c r="G58" s="25">
        <v>7.48</v>
      </c>
    </row>
    <row r="59" spans="1:12" ht="49.15" customHeight="1" collapsed="1" x14ac:dyDescent="0.2">
      <c r="A59" s="369" t="s">
        <v>159</v>
      </c>
      <c r="B59" s="366"/>
      <c r="C59" s="366"/>
      <c r="D59" s="366"/>
      <c r="E59" s="366"/>
      <c r="F59" s="366"/>
      <c r="G59" s="366"/>
    </row>
    <row r="60" spans="1:12" ht="13.5" thickBot="1" x14ac:dyDescent="0.25">
      <c r="A60" s="50"/>
      <c r="B60" s="84"/>
      <c r="F60" s="50"/>
      <c r="G60" s="84"/>
    </row>
    <row r="61" spans="1:12" ht="12.75" customHeight="1" thickBot="1" x14ac:dyDescent="0.25">
      <c r="A61" s="368" t="s">
        <v>161</v>
      </c>
      <c r="B61" s="365"/>
      <c r="C61" s="365"/>
      <c r="D61" s="365"/>
      <c r="E61" s="365"/>
      <c r="F61" s="365"/>
      <c r="G61" s="365"/>
      <c r="I61" s="26" t="s">
        <v>18</v>
      </c>
      <c r="J61" s="27">
        <f>J7+J17</f>
        <v>237122</v>
      </c>
      <c r="K61" s="28">
        <f>K7+K8+K17</f>
        <v>9.8800833333333333</v>
      </c>
      <c r="L61" s="57">
        <f>K61*L70/100</f>
        <v>9.898004720668481E-2</v>
      </c>
    </row>
    <row r="62" spans="1:12" x14ac:dyDescent="0.2">
      <c r="A62" s="365"/>
      <c r="B62" s="365"/>
      <c r="C62" s="365"/>
      <c r="D62" s="365"/>
      <c r="E62" s="365"/>
      <c r="F62" s="365"/>
      <c r="G62" s="365"/>
      <c r="I62" s="1" t="s">
        <v>152</v>
      </c>
      <c r="J62" s="1" t="s">
        <v>32</v>
      </c>
      <c r="K62" s="1" t="s">
        <v>32</v>
      </c>
    </row>
    <row r="63" spans="1:12" x14ac:dyDescent="0.2">
      <c r="A63" s="65"/>
      <c r="B63" s="65"/>
      <c r="C63" s="65"/>
      <c r="D63" s="65"/>
      <c r="E63" s="31"/>
      <c r="F63" s="31"/>
      <c r="G63" s="31"/>
      <c r="I63" t="s">
        <v>173</v>
      </c>
      <c r="J63" s="29">
        <f>B7*K63%</f>
        <v>12000</v>
      </c>
      <c r="K63" s="12">
        <v>0.5</v>
      </c>
      <c r="L63" s="57">
        <f>K63*L70/100</f>
        <v>5.0090694515068949E-3</v>
      </c>
    </row>
    <row r="64" spans="1:12" ht="13.15" customHeight="1" x14ac:dyDescent="0.2">
      <c r="I64" t="s">
        <v>19</v>
      </c>
      <c r="J64" s="29">
        <f>B7*K64%</f>
        <v>7200</v>
      </c>
      <c r="K64" s="12">
        <v>0.3</v>
      </c>
      <c r="L64" s="57">
        <f>K64*L70/100</f>
        <v>3.0054416709041367E-3</v>
      </c>
    </row>
    <row r="65" spans="1:12" x14ac:dyDescent="0.2">
      <c r="I65" s="1" t="s">
        <v>174</v>
      </c>
      <c r="J65" s="29">
        <f>B7*K65%</f>
        <v>7200</v>
      </c>
      <c r="K65" s="30">
        <v>0.3</v>
      </c>
      <c r="L65" s="57">
        <f>K65*L70/100</f>
        <v>3.0054416709041367E-3</v>
      </c>
    </row>
    <row r="66" spans="1:12" ht="63.6" customHeight="1" x14ac:dyDescent="0.2">
      <c r="A66" s="354" t="s">
        <v>197</v>
      </c>
      <c r="B66" s="354"/>
      <c r="C66" s="354"/>
      <c r="D66" s="354"/>
      <c r="E66" s="354"/>
      <c r="F66" s="354"/>
      <c r="G66" s="354"/>
      <c r="I66" s="40" t="s">
        <v>175</v>
      </c>
      <c r="J66" s="29">
        <f>B7*K66%</f>
        <v>0</v>
      </c>
      <c r="K66" s="1">
        <v>0</v>
      </c>
      <c r="L66" s="57">
        <f>K66*L70/100</f>
        <v>0</v>
      </c>
    </row>
    <row r="67" spans="1:12" ht="13.5" thickBot="1" x14ac:dyDescent="0.25">
      <c r="I67" s="226" t="s">
        <v>176</v>
      </c>
      <c r="J67" s="29">
        <f>K67%*B7</f>
        <v>0</v>
      </c>
      <c r="K67" s="225">
        <v>0</v>
      </c>
      <c r="L67" s="57">
        <f>K67*L70/100</f>
        <v>0</v>
      </c>
    </row>
    <row r="68" spans="1:12" ht="51.6" customHeight="1" thickBot="1" x14ac:dyDescent="0.25">
      <c r="A68" s="367" t="s">
        <v>177</v>
      </c>
      <c r="B68" s="367"/>
      <c r="C68" s="367"/>
      <c r="D68" s="367"/>
      <c r="E68" s="367"/>
      <c r="F68" s="367"/>
      <c r="G68" s="367"/>
      <c r="I68" s="139" t="s">
        <v>8</v>
      </c>
      <c r="J68" s="140">
        <f>SUM(J61:J67)</f>
        <v>263522</v>
      </c>
      <c r="K68" s="141">
        <f>SUM(K61:K67)</f>
        <v>10.980083333333335</v>
      </c>
      <c r="L68" s="60">
        <f>K68*L70/100</f>
        <v>0.11</v>
      </c>
    </row>
    <row r="69" spans="1:12" ht="13.5" thickBot="1" x14ac:dyDescent="0.25">
      <c r="A69" s="137"/>
      <c r="B69" s="137"/>
      <c r="C69" s="137"/>
      <c r="D69" s="137"/>
      <c r="E69" s="137"/>
      <c r="F69" s="137"/>
      <c r="G69" s="137"/>
      <c r="L69" s="56" t="s">
        <v>26</v>
      </c>
    </row>
    <row r="70" spans="1:12" ht="31.15" customHeight="1" x14ac:dyDescent="0.2">
      <c r="A70" s="354" t="s">
        <v>192</v>
      </c>
      <c r="B70" s="355"/>
      <c r="C70" s="355"/>
      <c r="D70" s="355"/>
      <c r="E70" s="355"/>
      <c r="F70" s="355"/>
      <c r="G70" s="355"/>
      <c r="I70" s="33" t="s">
        <v>20</v>
      </c>
      <c r="J70" s="34"/>
      <c r="K70" s="197">
        <f>ROUND(K68,0)</f>
        <v>11</v>
      </c>
      <c r="L70" s="56">
        <f>K70/K68</f>
        <v>1.0018138903013789</v>
      </c>
    </row>
    <row r="71" spans="1:12" ht="13.5" thickBot="1" x14ac:dyDescent="0.25">
      <c r="A71" s="137"/>
      <c r="B71" s="137"/>
      <c r="I71" s="35" t="s">
        <v>21</v>
      </c>
      <c r="J71" s="36"/>
      <c r="K71" s="169">
        <f>B7*K70/100</f>
        <v>264000</v>
      </c>
    </row>
    <row r="72" spans="1:12" x14ac:dyDescent="0.2">
      <c r="B72" s="137"/>
      <c r="C72" s="137"/>
      <c r="D72" s="137"/>
      <c r="E72" s="137"/>
      <c r="F72" s="137"/>
      <c r="G72" s="137"/>
    </row>
    <row r="74" spans="1:12" ht="28.9" customHeight="1" x14ac:dyDescent="0.2">
      <c r="A74" s="367" t="s">
        <v>179</v>
      </c>
      <c r="B74" s="367"/>
      <c r="C74" s="367"/>
      <c r="D74" s="367"/>
      <c r="E74" s="367"/>
      <c r="F74" s="367"/>
      <c r="G74" s="367"/>
    </row>
  </sheetData>
  <sheetProtection selectLockedCells="1" selectUnlockedCells="1"/>
  <mergeCells count="16">
    <mergeCell ref="A1:J1"/>
    <mergeCell ref="A4:I4"/>
    <mergeCell ref="J4:K5"/>
    <mergeCell ref="A61:G62"/>
    <mergeCell ref="A59:G59"/>
    <mergeCell ref="C3:E3"/>
    <mergeCell ref="A15:D15"/>
    <mergeCell ref="F15:I15"/>
    <mergeCell ref="J15:K15"/>
    <mergeCell ref="L4:M4"/>
    <mergeCell ref="A5:B5"/>
    <mergeCell ref="A68:G68"/>
    <mergeCell ref="A6:B6"/>
    <mergeCell ref="A74:G74"/>
    <mergeCell ref="A66:G66"/>
    <mergeCell ref="A70:G70"/>
  </mergeCells>
  <pageMargins left="0.23622047244094491" right="0.19685039370078741" top="0.74803149606299213" bottom="0.74803149606299213" header="0.31496062992125984" footer="0.31496062992125984"/>
  <pageSetup paperSize="9" firstPageNumber="0" orientation="landscape" cellComments="asDisplayed"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6"/>
  <sheetViews>
    <sheetView tabSelected="1" zoomScale="70" zoomScaleNormal="70" workbookViewId="0">
      <selection activeCell="N80" sqref="N80"/>
    </sheetView>
  </sheetViews>
  <sheetFormatPr baseColWidth="10" defaultColWidth="14.85546875" defaultRowHeight="12.75" outlineLevelRow="1" x14ac:dyDescent="0.2"/>
  <cols>
    <col min="1" max="6" width="14.7109375" style="1" customWidth="1"/>
    <col min="7" max="7" width="22.42578125" style="1" customWidth="1"/>
    <col min="8" max="8" width="14.7109375" style="1" customWidth="1"/>
    <col min="9" max="9" width="20.7109375" style="1" customWidth="1"/>
    <col min="10" max="11" width="14.7109375" style="1" customWidth="1"/>
    <col min="12" max="12" width="14.85546875" style="1" customWidth="1"/>
    <col min="13" max="13" width="29.7109375" style="1" customWidth="1"/>
    <col min="14" max="16384" width="14.85546875" style="1"/>
  </cols>
  <sheetData>
    <row r="1" spans="1:13" x14ac:dyDescent="0.2">
      <c r="A1" s="363" t="s">
        <v>183</v>
      </c>
      <c r="B1" s="363"/>
      <c r="C1" s="363"/>
      <c r="D1" s="363"/>
      <c r="E1" s="363"/>
      <c r="F1" s="363"/>
      <c r="G1" s="363"/>
      <c r="H1" s="363"/>
      <c r="I1" s="363"/>
      <c r="J1" s="363"/>
    </row>
    <row r="3" spans="1:13" ht="13.5" thickBot="1" x14ac:dyDescent="0.25">
      <c r="A3" s="1" t="str">
        <f>Détail!A2</f>
        <v>Intitulé du marché:</v>
      </c>
      <c r="C3" s="370" t="str">
        <f>Détail!B2</f>
        <v>VILLE_Projet de xxxxxxxxxxxxxxxxxxxxxxxxxxxxxxxxxxxxxx</v>
      </c>
      <c r="D3" s="370"/>
      <c r="E3" s="370"/>
    </row>
    <row r="4" spans="1:13" ht="12.75" customHeight="1" thickBot="1" x14ac:dyDescent="0.25">
      <c r="A4" s="360" t="s">
        <v>0</v>
      </c>
      <c r="B4" s="360"/>
      <c r="C4" s="360"/>
      <c r="D4" s="360"/>
      <c r="E4" s="360"/>
      <c r="F4" s="360"/>
      <c r="G4" s="360"/>
      <c r="H4" s="360"/>
      <c r="I4" s="360"/>
      <c r="J4" s="364" t="s">
        <v>95</v>
      </c>
      <c r="K4" s="364"/>
      <c r="L4" s="371" t="s">
        <v>28</v>
      </c>
      <c r="M4" s="372"/>
    </row>
    <row r="5" spans="1:13" ht="26.25" thickBot="1" x14ac:dyDescent="0.25">
      <c r="A5" s="358" t="s">
        <v>1</v>
      </c>
      <c r="B5" s="358"/>
      <c r="C5" s="69" t="s">
        <v>2</v>
      </c>
      <c r="D5" s="69" t="s">
        <v>3</v>
      </c>
      <c r="E5" s="69" t="s">
        <v>4</v>
      </c>
      <c r="F5" s="2" t="s">
        <v>5</v>
      </c>
      <c r="G5" s="69" t="s">
        <v>6</v>
      </c>
      <c r="H5" s="2" t="s">
        <v>7</v>
      </c>
      <c r="I5" s="69" t="s">
        <v>8</v>
      </c>
      <c r="J5" s="364"/>
      <c r="K5" s="364"/>
    </row>
    <row r="6" spans="1:13" ht="12.75" customHeight="1" thickBot="1" x14ac:dyDescent="0.25">
      <c r="A6" s="362" t="s">
        <v>9</v>
      </c>
      <c r="B6" s="362"/>
      <c r="C6" s="3">
        <v>0.08</v>
      </c>
      <c r="D6" s="4">
        <v>7.4999999999999997E-2</v>
      </c>
      <c r="E6" s="5">
        <v>7.0000000000000007E-2</v>
      </c>
      <c r="F6" s="4">
        <v>6.5000000000000002E-2</v>
      </c>
      <c r="G6" s="4">
        <v>6.25E-2</v>
      </c>
      <c r="H6" s="5">
        <v>0.06</v>
      </c>
      <c r="I6" s="6"/>
      <c r="J6" s="37" t="s">
        <v>96</v>
      </c>
      <c r="K6" s="68" t="s">
        <v>10</v>
      </c>
    </row>
    <row r="7" spans="1:13" ht="13.5" thickBot="1" x14ac:dyDescent="0.25">
      <c r="A7" s="7" t="s">
        <v>11</v>
      </c>
      <c r="B7" s="194">
        <f>Détail!C44</f>
        <v>2400000</v>
      </c>
      <c r="C7" s="8">
        <f>IF($B7&gt;$A$9,$A$9*$C$6,$B7*$C$6)</f>
        <v>12800</v>
      </c>
      <c r="D7" s="9">
        <f>IF($B7&gt;$A$10,($A$10-$A$9)*$D$6,IF($B7&gt;$A$9,($B7-$A$9)*$D$6,0))</f>
        <v>29250</v>
      </c>
      <c r="E7" s="9">
        <f>IF($B7&gt;$A$11,($A$11-$A$10)*$E$6,IF($B7&gt;$A$10,($B7-$A$10)*$E$6,0))</f>
        <v>59500.000000000007</v>
      </c>
      <c r="F7" s="9">
        <f>IF($B7&gt;$A$12,($A$12-$A$11)*$F$6,IF($B7&gt;$A$11,($B7-$A$11)*$F$6,0))</f>
        <v>65000</v>
      </c>
      <c r="G7" s="9">
        <f>IF($B7&gt;$A$13,($A$13-$A$12)*$G$6,IF($B7&gt;$A$12,($B7-$A$12)*$G$6,0))</f>
        <v>0</v>
      </c>
      <c r="H7" s="9">
        <f>IF($B7&gt;$A$13,($B7-$A$13)*$H$6,0)</f>
        <v>0</v>
      </c>
      <c r="I7" s="10">
        <f>SUM(C7:H7)</f>
        <v>166550</v>
      </c>
      <c r="J7" s="38">
        <f>(B7*K7)/100</f>
        <v>166550.00000000003</v>
      </c>
      <c r="K7" s="11">
        <f>(I7/B7)*100</f>
        <v>6.9395833333333341</v>
      </c>
      <c r="L7" s="57">
        <f>K7*L71/100</f>
        <v>7.0278610771974642E-2</v>
      </c>
    </row>
    <row r="8" spans="1:13" x14ac:dyDescent="0.2">
      <c r="B8" s="84" t="s">
        <v>241</v>
      </c>
      <c r="I8" s="62" t="s">
        <v>157</v>
      </c>
      <c r="J8" s="223">
        <v>0</v>
      </c>
      <c r="K8" s="12">
        <f>J8/B7*100</f>
        <v>0</v>
      </c>
    </row>
    <row r="9" spans="1:13" ht="12.75" hidden="1" customHeight="1" outlineLevel="1" x14ac:dyDescent="0.2">
      <c r="A9" s="1">
        <v>160000</v>
      </c>
      <c r="C9" s="12"/>
      <c r="D9" s="12"/>
      <c r="E9" s="12"/>
      <c r="F9" s="12"/>
    </row>
    <row r="10" spans="1:13" ht="12.75" hidden="1" customHeight="1" outlineLevel="1" x14ac:dyDescent="0.2">
      <c r="A10" s="1">
        <v>550000</v>
      </c>
    </row>
    <row r="11" spans="1:13" ht="12.75" hidden="1" customHeight="1" outlineLevel="1" x14ac:dyDescent="0.2">
      <c r="A11" s="1">
        <v>1400000</v>
      </c>
    </row>
    <row r="12" spans="1:13" ht="12.75" hidden="1" customHeight="1" outlineLevel="1" x14ac:dyDescent="0.2">
      <c r="A12" s="1">
        <v>5500000</v>
      </c>
    </row>
    <row r="13" spans="1:13" ht="12.75" hidden="1" customHeight="1" outlineLevel="1" x14ac:dyDescent="0.2">
      <c r="A13" s="1">
        <v>16600000</v>
      </c>
    </row>
    <row r="14" spans="1:13" ht="13.5" collapsed="1" thickBot="1" x14ac:dyDescent="0.25"/>
    <row r="15" spans="1:13" ht="13.5" thickBot="1" x14ac:dyDescent="0.25">
      <c r="A15" s="360" t="s">
        <v>164</v>
      </c>
      <c r="B15" s="360"/>
      <c r="C15" s="360"/>
      <c r="D15" s="360"/>
      <c r="F15" s="360" t="s">
        <v>165</v>
      </c>
      <c r="G15" s="360"/>
      <c r="H15" s="360"/>
      <c r="I15" s="360"/>
      <c r="J15" s="361" t="s">
        <v>8</v>
      </c>
      <c r="K15" s="361"/>
    </row>
    <row r="16" spans="1:13" ht="26.25" thickBot="1" x14ac:dyDescent="0.25">
      <c r="A16" s="69" t="s">
        <v>99</v>
      </c>
      <c r="B16" s="69" t="s">
        <v>15</v>
      </c>
      <c r="C16" s="69" t="s">
        <v>13</v>
      </c>
      <c r="D16" s="134" t="s">
        <v>14</v>
      </c>
      <c r="F16" s="69" t="s">
        <v>12</v>
      </c>
      <c r="G16" s="134" t="s">
        <v>15</v>
      </c>
      <c r="H16" s="134" t="s">
        <v>13</v>
      </c>
      <c r="I16" s="134" t="s">
        <v>14</v>
      </c>
      <c r="J16" s="13"/>
      <c r="K16" s="14"/>
      <c r="L16" s="135" t="s">
        <v>29</v>
      </c>
      <c r="M16" s="135" t="s">
        <v>30</v>
      </c>
    </row>
    <row r="17" spans="1:13" ht="13.5" thickBot="1" x14ac:dyDescent="0.25">
      <c r="A17" s="15">
        <f>B7</f>
        <v>2400000</v>
      </c>
      <c r="B17" s="16">
        <f>A17*20%</f>
        <v>480000</v>
      </c>
      <c r="C17" s="17">
        <f>VLOOKUP(B17,A20:B58,2,TRUE)</f>
        <v>13.12</v>
      </c>
      <c r="D17" s="18">
        <f>(B17*C17)/100</f>
        <v>62976</v>
      </c>
      <c r="F17" s="15">
        <f>B7</f>
        <v>2400000</v>
      </c>
      <c r="G17" s="18">
        <f>F17*20%</f>
        <v>480000</v>
      </c>
      <c r="H17" s="19">
        <f>VLOOKUP(G17,F20:G58,2,TRUE)</f>
        <v>12.24</v>
      </c>
      <c r="I17" s="18">
        <f>(G17*H17)/100</f>
        <v>58752</v>
      </c>
      <c r="J17" s="20">
        <f>I17+D17</f>
        <v>121728</v>
      </c>
      <c r="K17" s="39">
        <f>(J17/B7)*100</f>
        <v>5.0720000000000001</v>
      </c>
      <c r="L17" s="57">
        <f>C18*L71</f>
        <v>2.6573796409341786E-2</v>
      </c>
      <c r="M17" s="57">
        <f>H18*L71</f>
        <v>2.4791407625788374E-2</v>
      </c>
    </row>
    <row r="18" spans="1:13" x14ac:dyDescent="0.2">
      <c r="A18" s="49"/>
      <c r="B18" s="52" t="s">
        <v>27</v>
      </c>
      <c r="C18" s="53">
        <f>D17/B7</f>
        <v>2.6239999999999999E-2</v>
      </c>
      <c r="D18" s="50"/>
      <c r="F18" s="49"/>
      <c r="G18" s="52" t="s">
        <v>27</v>
      </c>
      <c r="H18" s="53">
        <f>I17/B7</f>
        <v>2.4479999999999998E-2</v>
      </c>
      <c r="I18" s="50"/>
      <c r="J18" s="51"/>
      <c r="K18" s="30"/>
    </row>
    <row r="20" spans="1:13" ht="13.5" hidden="1" customHeight="1" outlineLevel="1" thickBot="1" x14ac:dyDescent="0.25">
      <c r="A20" s="21" t="s">
        <v>16</v>
      </c>
      <c r="B20" s="22" t="s">
        <v>22</v>
      </c>
      <c r="F20" s="21" t="s">
        <v>16</v>
      </c>
      <c r="G20" s="22" t="s">
        <v>17</v>
      </c>
    </row>
    <row r="21" spans="1:13" ht="13.5" hidden="1" customHeight="1" outlineLevel="1" thickBot="1" x14ac:dyDescent="0.25">
      <c r="A21" s="54">
        <v>0</v>
      </c>
      <c r="B21" s="14">
        <v>16.21</v>
      </c>
      <c r="F21" s="55">
        <v>0</v>
      </c>
      <c r="G21" s="14">
        <v>15.13</v>
      </c>
    </row>
    <row r="22" spans="1:13" ht="12.75" hidden="1" customHeight="1" outlineLevel="1" x14ac:dyDescent="0.2">
      <c r="A22" s="23">
        <v>100000</v>
      </c>
      <c r="B22" s="14">
        <v>16.21</v>
      </c>
      <c r="F22" s="24">
        <v>100000</v>
      </c>
      <c r="G22" s="14">
        <v>15.13</v>
      </c>
    </row>
    <row r="23" spans="1:13" ht="12.75" hidden="1" customHeight="1" outlineLevel="1" x14ac:dyDescent="0.2">
      <c r="A23" s="24">
        <v>125000</v>
      </c>
      <c r="B23" s="14">
        <v>15.71</v>
      </c>
      <c r="F23" s="24">
        <v>125000</v>
      </c>
      <c r="G23" s="14">
        <v>14.66</v>
      </c>
    </row>
    <row r="24" spans="1:13" ht="12.75" hidden="1" customHeight="1" outlineLevel="1" x14ac:dyDescent="0.2">
      <c r="A24" s="24">
        <v>150000</v>
      </c>
      <c r="B24" s="14">
        <v>15.31</v>
      </c>
      <c r="F24" s="24">
        <v>150000</v>
      </c>
      <c r="G24" s="14">
        <v>14.29</v>
      </c>
    </row>
    <row r="25" spans="1:13" ht="12.75" hidden="1" customHeight="1" outlineLevel="1" x14ac:dyDescent="0.2">
      <c r="A25" s="24">
        <v>175000</v>
      </c>
      <c r="B25" s="14">
        <v>14.98</v>
      </c>
      <c r="F25" s="24">
        <v>175000</v>
      </c>
      <c r="G25" s="14">
        <v>13.98</v>
      </c>
    </row>
    <row r="26" spans="1:13" ht="12.75" hidden="1" customHeight="1" outlineLevel="1" x14ac:dyDescent="0.2">
      <c r="A26" s="24">
        <v>200000</v>
      </c>
      <c r="B26" s="14">
        <v>14.7</v>
      </c>
      <c r="F26" s="24">
        <v>200000</v>
      </c>
      <c r="G26" s="14">
        <v>13.72</v>
      </c>
    </row>
    <row r="27" spans="1:13" ht="12.75" hidden="1" customHeight="1" outlineLevel="1" x14ac:dyDescent="0.2">
      <c r="A27" s="24">
        <v>225000</v>
      </c>
      <c r="B27" s="14">
        <v>14.46</v>
      </c>
      <c r="F27" s="24">
        <v>225000</v>
      </c>
      <c r="G27" s="14">
        <v>13.5</v>
      </c>
    </row>
    <row r="28" spans="1:13" ht="12.75" hidden="1" customHeight="1" outlineLevel="1" x14ac:dyDescent="0.2">
      <c r="A28" s="24">
        <v>250000</v>
      </c>
      <c r="B28" s="14">
        <v>14.25</v>
      </c>
      <c r="F28" s="24">
        <v>250000</v>
      </c>
      <c r="G28" s="14">
        <v>13.3</v>
      </c>
    </row>
    <row r="29" spans="1:13" ht="12.75" hidden="1" customHeight="1" outlineLevel="1" x14ac:dyDescent="0.2">
      <c r="A29" s="24">
        <v>300000</v>
      </c>
      <c r="B29" s="14">
        <v>13.89</v>
      </c>
      <c r="F29" s="24">
        <v>300000</v>
      </c>
      <c r="G29" s="14">
        <v>12.96</v>
      </c>
    </row>
    <row r="30" spans="1:13" ht="12.75" hidden="1" customHeight="1" outlineLevel="1" x14ac:dyDescent="0.2">
      <c r="A30" s="24">
        <v>350000</v>
      </c>
      <c r="B30" s="14">
        <v>13.59</v>
      </c>
      <c r="F30" s="24">
        <v>350000</v>
      </c>
      <c r="G30" s="14">
        <v>12.68</v>
      </c>
    </row>
    <row r="31" spans="1:13" ht="12.75" hidden="1" customHeight="1" outlineLevel="1" x14ac:dyDescent="0.2">
      <c r="A31" s="24">
        <v>400000</v>
      </c>
      <c r="B31" s="14">
        <v>13.34</v>
      </c>
      <c r="F31" s="24">
        <v>400000</v>
      </c>
      <c r="G31" s="14">
        <v>12.45</v>
      </c>
    </row>
    <row r="32" spans="1:13" ht="12.75" hidden="1" customHeight="1" outlineLevel="1" x14ac:dyDescent="0.2">
      <c r="A32" s="24">
        <v>450000</v>
      </c>
      <c r="B32" s="14">
        <v>13.12</v>
      </c>
      <c r="F32" s="24">
        <v>450000</v>
      </c>
      <c r="G32" s="14">
        <v>12.24</v>
      </c>
    </row>
    <row r="33" spans="1:7" ht="12.75" hidden="1" customHeight="1" outlineLevel="1" x14ac:dyDescent="0.2">
      <c r="A33" s="24">
        <v>500000</v>
      </c>
      <c r="B33" s="14">
        <v>12.92</v>
      </c>
      <c r="F33" s="24">
        <v>500000</v>
      </c>
      <c r="G33" s="14">
        <v>12.06</v>
      </c>
    </row>
    <row r="34" spans="1:7" ht="12.75" hidden="1" customHeight="1" outlineLevel="1" x14ac:dyDescent="0.2">
      <c r="A34" s="24">
        <v>600000</v>
      </c>
      <c r="B34" s="14">
        <v>12.6</v>
      </c>
      <c r="F34" s="24">
        <v>600000</v>
      </c>
      <c r="G34" s="14">
        <v>11.76</v>
      </c>
    </row>
    <row r="35" spans="1:7" ht="12.75" hidden="1" customHeight="1" outlineLevel="1" x14ac:dyDescent="0.2">
      <c r="A35" s="24">
        <v>700000</v>
      </c>
      <c r="B35" s="14">
        <v>12.33</v>
      </c>
      <c r="F35" s="24">
        <v>700000</v>
      </c>
      <c r="G35" s="14">
        <v>11.51</v>
      </c>
    </row>
    <row r="36" spans="1:7" ht="12.75" hidden="1" customHeight="1" outlineLevel="1" x14ac:dyDescent="0.2">
      <c r="A36" s="24">
        <v>800000</v>
      </c>
      <c r="B36" s="14">
        <v>12.1</v>
      </c>
      <c r="F36" s="24">
        <v>800000</v>
      </c>
      <c r="G36" s="14">
        <v>11.29</v>
      </c>
    </row>
    <row r="37" spans="1:7" ht="12.75" hidden="1" customHeight="1" outlineLevel="1" x14ac:dyDescent="0.2">
      <c r="A37" s="24">
        <v>900000</v>
      </c>
      <c r="B37" s="14">
        <v>11.9</v>
      </c>
      <c r="F37" s="24">
        <v>900000</v>
      </c>
      <c r="G37" s="14">
        <v>11.11</v>
      </c>
    </row>
    <row r="38" spans="1:7" ht="12.75" hidden="1" customHeight="1" outlineLevel="1" x14ac:dyDescent="0.2">
      <c r="A38" s="24">
        <v>1000000</v>
      </c>
      <c r="B38" s="14">
        <v>11.72</v>
      </c>
      <c r="F38" s="24">
        <v>1000000</v>
      </c>
      <c r="G38" s="14">
        <v>10.94</v>
      </c>
    </row>
    <row r="39" spans="1:7" ht="12.75" hidden="1" customHeight="1" outlineLevel="1" x14ac:dyDescent="0.2">
      <c r="A39" s="24">
        <v>1250000</v>
      </c>
      <c r="B39" s="14">
        <v>11.36</v>
      </c>
      <c r="F39" s="24">
        <v>1250000</v>
      </c>
      <c r="G39" s="14">
        <v>10.6</v>
      </c>
    </row>
    <row r="40" spans="1:7" ht="12.75" hidden="1" customHeight="1" outlineLevel="1" x14ac:dyDescent="0.2">
      <c r="A40" s="24">
        <v>1500000</v>
      </c>
      <c r="B40" s="14">
        <v>11.07</v>
      </c>
      <c r="F40" s="24">
        <v>1500000</v>
      </c>
      <c r="G40" s="14">
        <v>10.34</v>
      </c>
    </row>
    <row r="41" spans="1:7" ht="12.75" hidden="1" customHeight="1" outlineLevel="1" x14ac:dyDescent="0.2">
      <c r="A41" s="24">
        <v>1750000</v>
      </c>
      <c r="B41" s="14">
        <v>10.84</v>
      </c>
      <c r="F41" s="24">
        <v>1750000</v>
      </c>
      <c r="G41" s="14">
        <v>10.11</v>
      </c>
    </row>
    <row r="42" spans="1:7" ht="12.75" hidden="1" customHeight="1" outlineLevel="1" x14ac:dyDescent="0.2">
      <c r="A42" s="24">
        <v>2000000</v>
      </c>
      <c r="B42" s="14">
        <v>10.63</v>
      </c>
      <c r="F42" s="24">
        <v>2000000</v>
      </c>
      <c r="G42" s="14">
        <v>9.93</v>
      </c>
    </row>
    <row r="43" spans="1:7" ht="12.75" hidden="1" customHeight="1" outlineLevel="1" x14ac:dyDescent="0.2">
      <c r="A43" s="24">
        <v>2250000</v>
      </c>
      <c r="B43" s="14">
        <v>10.46</v>
      </c>
      <c r="F43" s="24">
        <v>2250000</v>
      </c>
      <c r="G43" s="14">
        <v>9.76</v>
      </c>
    </row>
    <row r="44" spans="1:7" ht="12.75" hidden="1" customHeight="1" outlineLevel="1" x14ac:dyDescent="0.2">
      <c r="A44" s="24">
        <v>2500000</v>
      </c>
      <c r="B44" s="14">
        <v>10.31</v>
      </c>
      <c r="F44" s="24">
        <v>2500000</v>
      </c>
      <c r="G44" s="14">
        <v>9.6199999999999992</v>
      </c>
    </row>
    <row r="45" spans="1:7" ht="12.75" hidden="1" customHeight="1" outlineLevel="1" x14ac:dyDescent="0.2">
      <c r="A45" s="24">
        <v>3000000</v>
      </c>
      <c r="B45" s="14">
        <v>10.039999999999999</v>
      </c>
      <c r="F45" s="24">
        <v>3000000</v>
      </c>
      <c r="G45" s="14">
        <v>9.3800000000000008</v>
      </c>
    </row>
    <row r="46" spans="1:7" ht="12.75" hidden="1" customHeight="1" outlineLevel="1" x14ac:dyDescent="0.2">
      <c r="A46" s="24">
        <v>3500000</v>
      </c>
      <c r="B46" s="14">
        <v>9.83</v>
      </c>
      <c r="F46" s="24">
        <v>3500000</v>
      </c>
      <c r="G46" s="14">
        <v>9.18</v>
      </c>
    </row>
    <row r="47" spans="1:7" ht="12.75" hidden="1" customHeight="1" outlineLevel="1" x14ac:dyDescent="0.2">
      <c r="A47" s="24">
        <v>4000000</v>
      </c>
      <c r="B47" s="14">
        <v>9.65</v>
      </c>
      <c r="F47" s="24">
        <v>4000000</v>
      </c>
      <c r="G47" s="14">
        <v>9</v>
      </c>
    </row>
    <row r="48" spans="1:7" ht="12.75" hidden="1" customHeight="1" outlineLevel="1" x14ac:dyDescent="0.2">
      <c r="A48" s="24">
        <v>5000000</v>
      </c>
      <c r="B48" s="14">
        <v>9.35</v>
      </c>
      <c r="F48" s="24">
        <v>5000000</v>
      </c>
      <c r="G48" s="14">
        <v>8.73</v>
      </c>
    </row>
    <row r="49" spans="1:12" ht="12.75" hidden="1" customHeight="1" outlineLevel="1" x14ac:dyDescent="0.2">
      <c r="A49" s="24">
        <v>6000000</v>
      </c>
      <c r="B49" s="14">
        <v>9.11</v>
      </c>
      <c r="F49" s="24">
        <v>6000000</v>
      </c>
      <c r="G49" s="14">
        <v>8.51</v>
      </c>
    </row>
    <row r="50" spans="1:12" ht="12.75" hidden="1" customHeight="1" outlineLevel="1" x14ac:dyDescent="0.2">
      <c r="A50" s="24">
        <v>7000000</v>
      </c>
      <c r="B50" s="14">
        <v>8.92</v>
      </c>
      <c r="F50" s="24">
        <v>7000000</v>
      </c>
      <c r="G50" s="14">
        <v>8.32</v>
      </c>
    </row>
    <row r="51" spans="1:12" ht="12.75" hidden="1" customHeight="1" outlineLevel="1" x14ac:dyDescent="0.2">
      <c r="A51" s="24">
        <v>8000000</v>
      </c>
      <c r="B51" s="14">
        <v>8.75</v>
      </c>
      <c r="F51" s="24">
        <v>8000000</v>
      </c>
      <c r="G51" s="14">
        <v>8.17</v>
      </c>
    </row>
    <row r="52" spans="1:12" ht="12.75" hidden="1" customHeight="1" outlineLevel="1" x14ac:dyDescent="0.2">
      <c r="A52" s="24">
        <v>9000000</v>
      </c>
      <c r="B52" s="14">
        <v>8.61</v>
      </c>
      <c r="F52" s="24">
        <v>9000000</v>
      </c>
      <c r="G52" s="14">
        <v>8.0299999999999994</v>
      </c>
    </row>
    <row r="53" spans="1:12" ht="12.75" hidden="1" customHeight="1" outlineLevel="1" x14ac:dyDescent="0.2">
      <c r="A53" s="24">
        <v>10000000</v>
      </c>
      <c r="B53" s="14">
        <v>8.48</v>
      </c>
      <c r="F53" s="24">
        <v>10000000</v>
      </c>
      <c r="G53" s="14">
        <v>7.92</v>
      </c>
    </row>
    <row r="54" spans="1:12" ht="12.75" hidden="1" customHeight="1" outlineLevel="1" x14ac:dyDescent="0.2">
      <c r="A54" s="24">
        <v>11000000</v>
      </c>
      <c r="B54" s="14">
        <v>8.3699999999999992</v>
      </c>
      <c r="F54" s="24">
        <v>11000000</v>
      </c>
      <c r="G54" s="14">
        <v>7.81</v>
      </c>
    </row>
    <row r="55" spans="1:12" ht="12.75" hidden="1" customHeight="1" outlineLevel="1" x14ac:dyDescent="0.2">
      <c r="A55" s="24">
        <v>12000000</v>
      </c>
      <c r="B55" s="14">
        <v>8.26</v>
      </c>
      <c r="F55" s="24">
        <v>12000000</v>
      </c>
      <c r="G55" s="14">
        <v>7.72</v>
      </c>
    </row>
    <row r="56" spans="1:12" ht="12.75" hidden="1" customHeight="1" outlineLevel="1" x14ac:dyDescent="0.2">
      <c r="A56" s="24">
        <v>13000000</v>
      </c>
      <c r="B56" s="14">
        <v>8.17</v>
      </c>
      <c r="F56" s="24">
        <v>13000000</v>
      </c>
      <c r="G56" s="14">
        <v>7.63</v>
      </c>
    </row>
    <row r="57" spans="1:12" ht="12.75" hidden="1" customHeight="1" outlineLevel="1" x14ac:dyDescent="0.2">
      <c r="A57" s="24">
        <v>14000000</v>
      </c>
      <c r="B57" s="14">
        <v>8.09</v>
      </c>
      <c r="F57" s="24">
        <v>14000000</v>
      </c>
      <c r="G57" s="14">
        <v>7.55</v>
      </c>
    </row>
    <row r="58" spans="1:12" ht="12.75" hidden="1" customHeight="1" outlineLevel="1" thickBot="1" x14ac:dyDescent="0.25">
      <c r="A58" s="16">
        <v>15000000</v>
      </c>
      <c r="B58" s="25">
        <v>8.01</v>
      </c>
      <c r="F58" s="16">
        <v>15000000</v>
      </c>
      <c r="G58" s="25">
        <v>7.48</v>
      </c>
    </row>
    <row r="59" spans="1:12" ht="49.15" customHeight="1" collapsed="1" x14ac:dyDescent="0.2">
      <c r="A59" s="369" t="s">
        <v>159</v>
      </c>
      <c r="B59" s="366"/>
      <c r="C59" s="366"/>
      <c r="D59" s="366"/>
      <c r="E59" s="366"/>
      <c r="F59" s="366"/>
      <c r="G59" s="366"/>
    </row>
    <row r="60" spans="1:12" ht="12.75" customHeight="1" thickBot="1" x14ac:dyDescent="0.25">
      <c r="A60" s="50"/>
      <c r="B60" s="84"/>
      <c r="F60" s="50"/>
      <c r="G60" s="84"/>
    </row>
    <row r="61" spans="1:12" ht="12.75" customHeight="1" thickBot="1" x14ac:dyDescent="0.25">
      <c r="A61" s="367" t="s">
        <v>161</v>
      </c>
      <c r="B61" s="354"/>
      <c r="C61" s="354"/>
      <c r="D61" s="354"/>
      <c r="E61" s="354"/>
      <c r="F61" s="354"/>
      <c r="G61" s="354"/>
      <c r="I61" s="26" t="s">
        <v>18</v>
      </c>
      <c r="J61" s="27">
        <f>J7+J17</f>
        <v>288278</v>
      </c>
      <c r="K61" s="28">
        <f>K7+K8+K17</f>
        <v>12.011583333333334</v>
      </c>
      <c r="L61" s="57">
        <f>K61*L71/100</f>
        <v>0.1216438148071048</v>
      </c>
    </row>
    <row r="62" spans="1:12" x14ac:dyDescent="0.2">
      <c r="A62" s="354"/>
      <c r="B62" s="354"/>
      <c r="C62" s="354"/>
      <c r="D62" s="354"/>
      <c r="E62" s="354"/>
      <c r="F62" s="354"/>
      <c r="G62" s="354"/>
      <c r="I62" s="1" t="s">
        <v>152</v>
      </c>
      <c r="J62" s="1" t="s">
        <v>32</v>
      </c>
      <c r="K62" s="1" t="s">
        <v>32</v>
      </c>
    </row>
    <row r="63" spans="1:12" x14ac:dyDescent="0.2">
      <c r="A63" s="65"/>
      <c r="B63" s="65"/>
      <c r="C63" s="65"/>
      <c r="D63" s="65"/>
      <c r="E63" s="65"/>
      <c r="F63" s="31"/>
      <c r="G63" s="31"/>
      <c r="I63" s="1" t="s">
        <v>173</v>
      </c>
      <c r="J63" s="29">
        <f>B7*K63%</f>
        <v>12000</v>
      </c>
      <c r="K63" s="12">
        <v>0.5</v>
      </c>
      <c r="L63" s="57">
        <f>K63*L70/100</f>
        <v>7.5000000000000012E-4</v>
      </c>
    </row>
    <row r="64" spans="1:12" ht="18.75" customHeight="1" x14ac:dyDescent="0.2">
      <c r="I64" t="s">
        <v>19</v>
      </c>
      <c r="J64" s="29">
        <f>B7*K64%</f>
        <v>7200</v>
      </c>
      <c r="K64" s="12">
        <v>0.3</v>
      </c>
      <c r="L64" s="57">
        <f>K64*L71/100</f>
        <v>3.0381626992387711E-3</v>
      </c>
    </row>
    <row r="65" spans="1:12" x14ac:dyDescent="0.2">
      <c r="I65" s="1" t="s">
        <v>174</v>
      </c>
      <c r="J65" s="29">
        <f>B7*K65%</f>
        <v>12000</v>
      </c>
      <c r="K65" s="30">
        <v>0.5</v>
      </c>
      <c r="L65" s="57">
        <f>K65*L71/100</f>
        <v>5.0636044987312856E-3</v>
      </c>
    </row>
    <row r="66" spans="1:12" ht="61.9" customHeight="1" x14ac:dyDescent="0.2">
      <c r="A66" s="354" t="s">
        <v>197</v>
      </c>
      <c r="B66" s="354"/>
      <c r="C66" s="354"/>
      <c r="D66" s="354"/>
      <c r="E66" s="354"/>
      <c r="F66" s="354"/>
      <c r="G66" s="354"/>
      <c r="I66" s="40" t="s">
        <v>175</v>
      </c>
      <c r="J66" s="29">
        <f>B7*K66%</f>
        <v>0</v>
      </c>
      <c r="K66" s="1">
        <v>0</v>
      </c>
      <c r="L66" s="57">
        <f>K66*L71/100</f>
        <v>0</v>
      </c>
    </row>
    <row r="67" spans="1:12" x14ac:dyDescent="0.2">
      <c r="I67" s="226" t="s">
        <v>176</v>
      </c>
      <c r="J67" s="29">
        <f>B7*K67%</f>
        <v>0</v>
      </c>
      <c r="K67" s="227">
        <v>0</v>
      </c>
      <c r="L67" s="57">
        <f>K67*L71/100</f>
        <v>0</v>
      </c>
    </row>
    <row r="68" spans="1:12" ht="51.6" customHeight="1" x14ac:dyDescent="0.2">
      <c r="A68" s="367" t="s">
        <v>178</v>
      </c>
      <c r="B68" s="367"/>
      <c r="C68" s="367"/>
      <c r="D68" s="367"/>
      <c r="E68" s="367"/>
      <c r="F68" s="367"/>
      <c r="G68" s="367"/>
      <c r="I68" s="61" t="s">
        <v>202</v>
      </c>
      <c r="J68" s="29">
        <f>K68%*B7</f>
        <v>36000</v>
      </c>
      <c r="K68" s="12">
        <v>1.5</v>
      </c>
      <c r="L68" s="57">
        <f>K68*L71/100</f>
        <v>1.5190813496193858E-2</v>
      </c>
    </row>
    <row r="69" spans="1:12" ht="13.5" thickBot="1" x14ac:dyDescent="0.25">
      <c r="A69" s="137"/>
      <c r="B69" s="137"/>
      <c r="C69" s="137"/>
      <c r="D69" s="137"/>
      <c r="E69" s="137"/>
      <c r="F69" s="137"/>
      <c r="G69" s="137"/>
      <c r="I69" s="62"/>
      <c r="J69" s="63"/>
      <c r="K69" s="64"/>
      <c r="L69" s="57"/>
    </row>
    <row r="70" spans="1:12" ht="31.15" customHeight="1" thickBot="1" x14ac:dyDescent="0.25">
      <c r="A70" s="354" t="s">
        <v>193</v>
      </c>
      <c r="B70" s="355"/>
      <c r="C70" s="355"/>
      <c r="D70" s="355"/>
      <c r="E70" s="355"/>
      <c r="F70" s="355"/>
      <c r="G70" s="355"/>
      <c r="I70" s="26" t="s">
        <v>8</v>
      </c>
      <c r="J70" s="27">
        <f>SUM(J61:J69)</f>
        <v>355478</v>
      </c>
      <c r="K70" s="32">
        <f>SUM(K61:K69)</f>
        <v>14.811583333333335</v>
      </c>
      <c r="L70" s="60">
        <f>K70*L71/100</f>
        <v>0.15000000000000002</v>
      </c>
    </row>
    <row r="71" spans="1:12" x14ac:dyDescent="0.2">
      <c r="A71" s="229"/>
      <c r="B71" s="229"/>
      <c r="C71" s="229"/>
      <c r="D71" s="229"/>
      <c r="E71" s="229"/>
      <c r="F71" s="31"/>
      <c r="G71" s="31"/>
      <c r="I71" s="33" t="s">
        <v>20</v>
      </c>
      <c r="J71" s="34"/>
      <c r="K71" s="197">
        <f>ROUND(K70,0)</f>
        <v>15</v>
      </c>
      <c r="L71" s="56">
        <f>K71/K70</f>
        <v>1.0127208997462571</v>
      </c>
    </row>
    <row r="72" spans="1:12" ht="13.5" thickBot="1" x14ac:dyDescent="0.25">
      <c r="B72" s="137"/>
      <c r="C72" s="137"/>
      <c r="D72" s="137"/>
      <c r="E72" s="137"/>
      <c r="F72" s="137"/>
      <c r="G72" s="137"/>
      <c r="I72" s="35" t="s">
        <v>21</v>
      </c>
      <c r="J72" s="36"/>
      <c r="K72" s="169">
        <f>B7*K71/100</f>
        <v>360000</v>
      </c>
    </row>
    <row r="73" spans="1:12" x14ac:dyDescent="0.2">
      <c r="A73" s="229"/>
      <c r="B73" s="229"/>
      <c r="C73" s="229"/>
      <c r="D73" s="229"/>
      <c r="E73" s="229"/>
      <c r="J73" s="142"/>
      <c r="K73" s="143"/>
    </row>
    <row r="74" spans="1:12" ht="38.450000000000003" customHeight="1" x14ac:dyDescent="0.2">
      <c r="A74" s="367" t="s">
        <v>180</v>
      </c>
      <c r="B74" s="367"/>
      <c r="C74" s="367"/>
      <c r="D74" s="367"/>
      <c r="E74" s="367"/>
      <c r="F74" s="367"/>
      <c r="G74" s="367"/>
    </row>
    <row r="76" spans="1:12" x14ac:dyDescent="0.2">
      <c r="A76" s="1" t="s">
        <v>203</v>
      </c>
    </row>
  </sheetData>
  <sheetProtection selectLockedCells="1" selectUnlockedCells="1"/>
  <mergeCells count="16">
    <mergeCell ref="L4:M4"/>
    <mergeCell ref="A5:B5"/>
    <mergeCell ref="A6:B6"/>
    <mergeCell ref="A15:D15"/>
    <mergeCell ref="F15:I15"/>
    <mergeCell ref="J15:K15"/>
    <mergeCell ref="A74:G74"/>
    <mergeCell ref="A66:G66"/>
    <mergeCell ref="A70:G70"/>
    <mergeCell ref="A1:J1"/>
    <mergeCell ref="A4:I4"/>
    <mergeCell ref="J4:K5"/>
    <mergeCell ref="A61:G62"/>
    <mergeCell ref="C3:E3"/>
    <mergeCell ref="A68:G68"/>
    <mergeCell ref="A59:G59"/>
  </mergeCells>
  <pageMargins left="0.23622047244094491" right="0.19685039370078741" top="0.74803149606299213" bottom="0.74803149606299213" header="0.31496062992125984" footer="0.31496062992125984"/>
  <pageSetup paperSize="9" firstPageNumber="0" orientation="landscape" cellComments="asDisplayed"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4"/>
  <sheetViews>
    <sheetView zoomScale="70" zoomScaleNormal="70" workbookViewId="0">
      <selection activeCell="B8" sqref="B8"/>
    </sheetView>
  </sheetViews>
  <sheetFormatPr baseColWidth="10" defaultColWidth="15.140625" defaultRowHeight="12.75" outlineLevelRow="1" x14ac:dyDescent="0.2"/>
  <cols>
    <col min="1" max="6" width="14.7109375" style="1" customWidth="1"/>
    <col min="7" max="7" width="22.42578125" style="1" customWidth="1"/>
    <col min="8" max="8" width="14.7109375" style="1" customWidth="1"/>
    <col min="9" max="9" width="20.7109375" style="1" customWidth="1"/>
    <col min="10" max="11" width="14.7109375" style="1" customWidth="1"/>
    <col min="12" max="12" width="15.140625" style="1"/>
    <col min="13" max="13" width="25.5703125" style="1" customWidth="1"/>
    <col min="14" max="16384" width="15.140625" style="1"/>
  </cols>
  <sheetData>
    <row r="1" spans="1:13" x14ac:dyDescent="0.2">
      <c r="A1" s="363" t="s">
        <v>184</v>
      </c>
      <c r="B1" s="363"/>
      <c r="C1" s="363"/>
      <c r="D1" s="363"/>
      <c r="E1" s="363"/>
      <c r="F1" s="363"/>
      <c r="G1" s="363"/>
      <c r="H1" s="363"/>
      <c r="I1" s="363"/>
      <c r="J1" s="363"/>
    </row>
    <row r="3" spans="1:13" ht="13.5" thickBot="1" x14ac:dyDescent="0.25">
      <c r="A3" s="1" t="str">
        <f>Détail!A2</f>
        <v>Intitulé du marché:</v>
      </c>
      <c r="C3" s="370" t="str">
        <f>Détail!B2</f>
        <v>VILLE_Projet de xxxxxxxxxxxxxxxxxxxxxxxxxxxxxxxxxxxxxx</v>
      </c>
      <c r="D3" s="370"/>
      <c r="E3" s="370"/>
    </row>
    <row r="4" spans="1:13" ht="12.75" customHeight="1" thickBot="1" x14ac:dyDescent="0.25">
      <c r="A4" s="360" t="s">
        <v>0</v>
      </c>
      <c r="B4" s="360"/>
      <c r="C4" s="360"/>
      <c r="D4" s="360"/>
      <c r="E4" s="360"/>
      <c r="F4" s="360"/>
      <c r="G4" s="360"/>
      <c r="H4" s="360"/>
      <c r="I4" s="360"/>
      <c r="J4" s="364" t="s">
        <v>95</v>
      </c>
      <c r="K4" s="364"/>
      <c r="L4" s="356" t="s">
        <v>28</v>
      </c>
      <c r="M4" s="357"/>
    </row>
    <row r="5" spans="1:13" ht="26.25" thickBot="1" x14ac:dyDescent="0.25">
      <c r="A5" s="358" t="s">
        <v>1</v>
      </c>
      <c r="B5" s="358"/>
      <c r="C5" s="69" t="s">
        <v>2</v>
      </c>
      <c r="D5" s="69" t="s">
        <v>3</v>
      </c>
      <c r="E5" s="69" t="s">
        <v>4</v>
      </c>
      <c r="F5" s="2" t="s">
        <v>5</v>
      </c>
      <c r="G5" s="69" t="s">
        <v>6</v>
      </c>
      <c r="H5" s="2" t="s">
        <v>7</v>
      </c>
      <c r="I5" s="69" t="s">
        <v>8</v>
      </c>
      <c r="J5" s="364"/>
      <c r="K5" s="364"/>
    </row>
    <row r="6" spans="1:13" ht="12.75" customHeight="1" thickBot="1" x14ac:dyDescent="0.25">
      <c r="A6" s="362" t="s">
        <v>9</v>
      </c>
      <c r="B6" s="362"/>
      <c r="C6" s="3">
        <v>0.12</v>
      </c>
      <c r="D6" s="4">
        <v>0.11</v>
      </c>
      <c r="E6" s="5">
        <v>0.1</v>
      </c>
      <c r="F6" s="4">
        <v>0.09</v>
      </c>
      <c r="G6" s="4">
        <v>8.5000000000000006E-2</v>
      </c>
      <c r="H6" s="5">
        <v>0.08</v>
      </c>
      <c r="I6" s="6"/>
      <c r="J6" s="37"/>
      <c r="K6" s="68" t="s">
        <v>10</v>
      </c>
    </row>
    <row r="7" spans="1:13" ht="13.5" thickBot="1" x14ac:dyDescent="0.25">
      <c r="A7" s="7" t="s">
        <v>11</v>
      </c>
      <c r="B7" s="194">
        <f>Détail!C44</f>
        <v>2400000</v>
      </c>
      <c r="C7" s="8">
        <f>IF($B7&gt;$A$9,$A$9*$C$6,$B7*$C$6)</f>
        <v>19200</v>
      </c>
      <c r="D7" s="9">
        <f>IF($B7&gt;$A$10,($A$10-$A$9)*$D$6,IF($B7&gt;$A$9,($B7-$A$9)*$D$6,0))</f>
        <v>42900</v>
      </c>
      <c r="E7" s="9">
        <f>IF($B7&gt;$A$11,($A$11-$A$10)*$E$6,IF($B7&gt;$A$10,($B7-$A$10)*$E$6,0))</f>
        <v>85000</v>
      </c>
      <c r="F7" s="9">
        <f>IF($B7&gt;$A$12,($A$12-$A$11)*$F$6,IF($B7&gt;$A$11,($B7-$A$11)*$F$6,0))</f>
        <v>90000</v>
      </c>
      <c r="G7" s="9">
        <f>IF($B7&gt;$A$13,($A$13-$A$12)*$G$6,IF($B7&gt;$A$12,($B7-$A$12)*$G$6,0))</f>
        <v>0</v>
      </c>
      <c r="H7" s="9">
        <f>IF($B7&gt;$A$13,($B7-$A$13)*$H$6,0)</f>
        <v>0</v>
      </c>
      <c r="I7" s="10">
        <f>SUM(C7:H7)</f>
        <v>237100</v>
      </c>
      <c r="J7" s="38">
        <f>(B7*K7)/100</f>
        <v>237100</v>
      </c>
      <c r="K7" s="11">
        <f>(I7/B7)*100</f>
        <v>9.8791666666666664</v>
      </c>
      <c r="L7" s="57">
        <f>K7*L72/100</f>
        <v>9.5817078690432572E-2</v>
      </c>
    </row>
    <row r="8" spans="1:13" x14ac:dyDescent="0.2">
      <c r="B8" s="84" t="s">
        <v>241</v>
      </c>
      <c r="I8" s="62" t="s">
        <v>157</v>
      </c>
      <c r="J8" s="223">
        <v>0</v>
      </c>
      <c r="K8" s="12">
        <f>J8/B7*100</f>
        <v>0</v>
      </c>
    </row>
    <row r="9" spans="1:13" hidden="1" outlineLevel="1" x14ac:dyDescent="0.2">
      <c r="A9" s="1">
        <v>160000</v>
      </c>
      <c r="C9" s="12"/>
      <c r="D9" s="12"/>
      <c r="E9" s="12"/>
      <c r="F9" s="12"/>
    </row>
    <row r="10" spans="1:13" hidden="1" outlineLevel="1" x14ac:dyDescent="0.2">
      <c r="A10" s="1">
        <v>550000</v>
      </c>
    </row>
    <row r="11" spans="1:13" hidden="1" outlineLevel="1" x14ac:dyDescent="0.2">
      <c r="A11" s="1">
        <v>1400000</v>
      </c>
    </row>
    <row r="12" spans="1:13" hidden="1" outlineLevel="1" x14ac:dyDescent="0.2">
      <c r="A12" s="1">
        <v>5500000</v>
      </c>
    </row>
    <row r="13" spans="1:13" hidden="1" outlineLevel="1" x14ac:dyDescent="0.2">
      <c r="A13" s="1">
        <v>16600000</v>
      </c>
    </row>
    <row r="14" spans="1:13" ht="13.5" collapsed="1" thickBot="1" x14ac:dyDescent="0.25"/>
    <row r="15" spans="1:13" ht="13.5" thickBot="1" x14ac:dyDescent="0.25">
      <c r="A15" s="360" t="s">
        <v>164</v>
      </c>
      <c r="B15" s="360"/>
      <c r="C15" s="360"/>
      <c r="D15" s="360"/>
      <c r="F15" s="360" t="s">
        <v>165</v>
      </c>
      <c r="G15" s="360"/>
      <c r="H15" s="360"/>
      <c r="I15" s="360"/>
      <c r="J15" s="361" t="s">
        <v>8</v>
      </c>
      <c r="K15" s="361"/>
    </row>
    <row r="16" spans="1:13" ht="26.25" thickBot="1" x14ac:dyDescent="0.25">
      <c r="A16" s="41" t="s">
        <v>12</v>
      </c>
      <c r="B16" s="41" t="s">
        <v>101</v>
      </c>
      <c r="C16" s="41" t="s">
        <v>13</v>
      </c>
      <c r="D16" s="42" t="s">
        <v>14</v>
      </c>
      <c r="E16" s="43"/>
      <c r="F16" s="41" t="s">
        <v>12</v>
      </c>
      <c r="G16" s="144" t="s">
        <v>15</v>
      </c>
      <c r="H16" s="42" t="s">
        <v>13</v>
      </c>
      <c r="I16" s="42" t="s">
        <v>14</v>
      </c>
      <c r="J16" s="44" t="s">
        <v>23</v>
      </c>
      <c r="K16" s="45" t="s">
        <v>10</v>
      </c>
      <c r="L16" s="59" t="s">
        <v>29</v>
      </c>
      <c r="M16" s="59" t="s">
        <v>30</v>
      </c>
    </row>
    <row r="17" spans="1:13" ht="13.5" thickBot="1" x14ac:dyDescent="0.25">
      <c r="A17" s="15">
        <f>B7</f>
        <v>2400000</v>
      </c>
      <c r="B17" s="16">
        <f>A17*15%</f>
        <v>360000</v>
      </c>
      <c r="C17" s="17">
        <f>VLOOKUP(B17,A20:B58,2,TRUE)</f>
        <v>13.59</v>
      </c>
      <c r="D17" s="18">
        <f>(B17*C17)/100</f>
        <v>48924</v>
      </c>
      <c r="F17" s="15">
        <f>B7</f>
        <v>2400000</v>
      </c>
      <c r="G17" s="18">
        <f>F17*20%</f>
        <v>480000</v>
      </c>
      <c r="H17" s="19">
        <f>VLOOKUP(G17,F20:G58,2,TRUE)</f>
        <v>12.24</v>
      </c>
      <c r="I17" s="18">
        <f>(G17*H17)/100</f>
        <v>58752</v>
      </c>
      <c r="J17" s="20">
        <f>I17+D17</f>
        <v>107676</v>
      </c>
      <c r="K17" s="39">
        <f>(J17/B7)*100</f>
        <v>4.4865000000000004</v>
      </c>
      <c r="L17" s="57">
        <f>C18*L72</f>
        <v>1.9771213656055348E-2</v>
      </c>
      <c r="M17" s="57">
        <f>H18*L72</f>
        <v>2.3742914412569774E-2</v>
      </c>
    </row>
    <row r="18" spans="1:13" x14ac:dyDescent="0.2">
      <c r="A18" s="49"/>
      <c r="B18" s="52" t="s">
        <v>27</v>
      </c>
      <c r="C18" s="53">
        <f>D17/B7</f>
        <v>2.0385E-2</v>
      </c>
      <c r="D18" s="50"/>
      <c r="F18" s="49"/>
      <c r="G18" s="52" t="s">
        <v>27</v>
      </c>
      <c r="H18" s="53">
        <f>I17/B7</f>
        <v>2.4479999999999998E-2</v>
      </c>
      <c r="I18" s="50"/>
      <c r="J18" s="51"/>
      <c r="K18" s="30"/>
    </row>
    <row r="20" spans="1:13" ht="13.5" hidden="1" outlineLevel="1" thickBot="1" x14ac:dyDescent="0.25">
      <c r="A20" s="21" t="s">
        <v>16</v>
      </c>
      <c r="B20" s="22" t="s">
        <v>22</v>
      </c>
      <c r="F20" s="21" t="s">
        <v>16</v>
      </c>
      <c r="G20" s="22" t="s">
        <v>17</v>
      </c>
    </row>
    <row r="21" spans="1:13" ht="13.5" hidden="1" outlineLevel="1" thickBot="1" x14ac:dyDescent="0.25">
      <c r="A21" s="54">
        <v>0</v>
      </c>
      <c r="B21" s="14">
        <v>16.21</v>
      </c>
      <c r="F21" s="55">
        <v>0</v>
      </c>
      <c r="G21" s="14">
        <v>15.13</v>
      </c>
    </row>
    <row r="22" spans="1:13" hidden="1" outlineLevel="1" x14ac:dyDescent="0.2">
      <c r="A22" s="23">
        <v>100000</v>
      </c>
      <c r="B22" s="14">
        <v>16.21</v>
      </c>
      <c r="F22" s="24">
        <v>100000</v>
      </c>
      <c r="G22" s="14">
        <v>15.13</v>
      </c>
    </row>
    <row r="23" spans="1:13" hidden="1" outlineLevel="1" x14ac:dyDescent="0.2">
      <c r="A23" s="24">
        <v>125000</v>
      </c>
      <c r="B23" s="14">
        <v>15.71</v>
      </c>
      <c r="F23" s="24">
        <v>125000</v>
      </c>
      <c r="G23" s="14">
        <v>14.66</v>
      </c>
    </row>
    <row r="24" spans="1:13" hidden="1" outlineLevel="1" x14ac:dyDescent="0.2">
      <c r="A24" s="24">
        <v>150000</v>
      </c>
      <c r="B24" s="14">
        <v>15.31</v>
      </c>
      <c r="F24" s="24">
        <v>150000</v>
      </c>
      <c r="G24" s="14">
        <v>14.29</v>
      </c>
    </row>
    <row r="25" spans="1:13" hidden="1" outlineLevel="1" x14ac:dyDescent="0.2">
      <c r="A25" s="24">
        <v>175000</v>
      </c>
      <c r="B25" s="14">
        <v>14.98</v>
      </c>
      <c r="F25" s="24">
        <v>175000</v>
      </c>
      <c r="G25" s="14">
        <v>13.98</v>
      </c>
    </row>
    <row r="26" spans="1:13" hidden="1" outlineLevel="1" x14ac:dyDescent="0.2">
      <c r="A26" s="24">
        <v>200000</v>
      </c>
      <c r="B26" s="14">
        <v>14.7</v>
      </c>
      <c r="F26" s="24">
        <v>200000</v>
      </c>
      <c r="G26" s="14">
        <v>13.72</v>
      </c>
    </row>
    <row r="27" spans="1:13" hidden="1" outlineLevel="1" x14ac:dyDescent="0.2">
      <c r="A27" s="24">
        <v>225000</v>
      </c>
      <c r="B27" s="14">
        <v>14.46</v>
      </c>
      <c r="F27" s="24">
        <v>225000</v>
      </c>
      <c r="G27" s="14">
        <v>13.5</v>
      </c>
    </row>
    <row r="28" spans="1:13" hidden="1" outlineLevel="1" x14ac:dyDescent="0.2">
      <c r="A28" s="24">
        <v>250000</v>
      </c>
      <c r="B28" s="14">
        <v>14.25</v>
      </c>
      <c r="F28" s="24">
        <v>250000</v>
      </c>
      <c r="G28" s="14">
        <v>13.3</v>
      </c>
    </row>
    <row r="29" spans="1:13" hidden="1" outlineLevel="1" x14ac:dyDescent="0.2">
      <c r="A29" s="24">
        <v>300000</v>
      </c>
      <c r="B29" s="14">
        <v>13.89</v>
      </c>
      <c r="F29" s="24">
        <v>300000</v>
      </c>
      <c r="G29" s="14">
        <v>12.96</v>
      </c>
    </row>
    <row r="30" spans="1:13" hidden="1" outlineLevel="1" x14ac:dyDescent="0.2">
      <c r="A30" s="24">
        <v>350000</v>
      </c>
      <c r="B30" s="14">
        <v>13.59</v>
      </c>
      <c r="F30" s="24">
        <v>350000</v>
      </c>
      <c r="G30" s="14">
        <v>12.68</v>
      </c>
    </row>
    <row r="31" spans="1:13" hidden="1" outlineLevel="1" x14ac:dyDescent="0.2">
      <c r="A31" s="24">
        <v>400000</v>
      </c>
      <c r="B31" s="14">
        <v>13.34</v>
      </c>
      <c r="F31" s="24">
        <v>400000</v>
      </c>
      <c r="G31" s="14">
        <v>12.45</v>
      </c>
    </row>
    <row r="32" spans="1:13" hidden="1" outlineLevel="1" x14ac:dyDescent="0.2">
      <c r="A32" s="24">
        <v>450000</v>
      </c>
      <c r="B32" s="14">
        <v>13.12</v>
      </c>
      <c r="F32" s="24">
        <v>450000</v>
      </c>
      <c r="G32" s="14">
        <v>12.24</v>
      </c>
    </row>
    <row r="33" spans="1:7" hidden="1" outlineLevel="1" x14ac:dyDescent="0.2">
      <c r="A33" s="24">
        <v>500000</v>
      </c>
      <c r="B33" s="14">
        <v>12.92</v>
      </c>
      <c r="F33" s="24">
        <v>500000</v>
      </c>
      <c r="G33" s="14">
        <v>12.06</v>
      </c>
    </row>
    <row r="34" spans="1:7" hidden="1" outlineLevel="1" x14ac:dyDescent="0.2">
      <c r="A34" s="24">
        <v>600000</v>
      </c>
      <c r="B34" s="14">
        <v>12.6</v>
      </c>
      <c r="F34" s="24">
        <v>600000</v>
      </c>
      <c r="G34" s="14">
        <v>11.76</v>
      </c>
    </row>
    <row r="35" spans="1:7" hidden="1" outlineLevel="1" x14ac:dyDescent="0.2">
      <c r="A35" s="24">
        <v>700000</v>
      </c>
      <c r="B35" s="14">
        <v>12.33</v>
      </c>
      <c r="F35" s="24">
        <v>700000</v>
      </c>
      <c r="G35" s="14">
        <v>11.51</v>
      </c>
    </row>
    <row r="36" spans="1:7" hidden="1" outlineLevel="1" x14ac:dyDescent="0.2">
      <c r="A36" s="24">
        <v>800000</v>
      </c>
      <c r="B36" s="14">
        <v>12.1</v>
      </c>
      <c r="F36" s="24">
        <v>800000</v>
      </c>
      <c r="G36" s="14">
        <v>11.29</v>
      </c>
    </row>
    <row r="37" spans="1:7" hidden="1" outlineLevel="1" x14ac:dyDescent="0.2">
      <c r="A37" s="24">
        <v>900000</v>
      </c>
      <c r="B37" s="14">
        <v>11.9</v>
      </c>
      <c r="F37" s="24">
        <v>900000</v>
      </c>
      <c r="G37" s="14">
        <v>11.11</v>
      </c>
    </row>
    <row r="38" spans="1:7" hidden="1" outlineLevel="1" x14ac:dyDescent="0.2">
      <c r="A38" s="24">
        <v>1000000</v>
      </c>
      <c r="B38" s="14">
        <v>11.72</v>
      </c>
      <c r="F38" s="24">
        <v>1000000</v>
      </c>
      <c r="G38" s="14">
        <v>10.94</v>
      </c>
    </row>
    <row r="39" spans="1:7" hidden="1" outlineLevel="1" x14ac:dyDescent="0.2">
      <c r="A39" s="24">
        <v>1250000</v>
      </c>
      <c r="B39" s="14">
        <v>11.36</v>
      </c>
      <c r="F39" s="24">
        <v>1250000</v>
      </c>
      <c r="G39" s="14">
        <v>10.6</v>
      </c>
    </row>
    <row r="40" spans="1:7" hidden="1" outlineLevel="1" x14ac:dyDescent="0.2">
      <c r="A40" s="24">
        <v>1500000</v>
      </c>
      <c r="B40" s="14">
        <v>11.07</v>
      </c>
      <c r="F40" s="24">
        <v>1500000</v>
      </c>
      <c r="G40" s="14">
        <v>10.34</v>
      </c>
    </row>
    <row r="41" spans="1:7" hidden="1" outlineLevel="1" x14ac:dyDescent="0.2">
      <c r="A41" s="24">
        <v>1750000</v>
      </c>
      <c r="B41" s="14">
        <v>10.84</v>
      </c>
      <c r="F41" s="24">
        <v>1750000</v>
      </c>
      <c r="G41" s="14">
        <v>10.11</v>
      </c>
    </row>
    <row r="42" spans="1:7" hidden="1" outlineLevel="1" x14ac:dyDescent="0.2">
      <c r="A42" s="24">
        <v>2000000</v>
      </c>
      <c r="B42" s="14">
        <v>10.63</v>
      </c>
      <c r="F42" s="24">
        <v>2000000</v>
      </c>
      <c r="G42" s="14">
        <v>9.93</v>
      </c>
    </row>
    <row r="43" spans="1:7" hidden="1" outlineLevel="1" x14ac:dyDescent="0.2">
      <c r="A43" s="24">
        <v>2250000</v>
      </c>
      <c r="B43" s="14">
        <v>10.46</v>
      </c>
      <c r="F43" s="24">
        <v>2250000</v>
      </c>
      <c r="G43" s="14">
        <v>9.76</v>
      </c>
    </row>
    <row r="44" spans="1:7" hidden="1" outlineLevel="1" x14ac:dyDescent="0.2">
      <c r="A44" s="24">
        <v>2500000</v>
      </c>
      <c r="B44" s="14">
        <v>10.31</v>
      </c>
      <c r="F44" s="24">
        <v>2500000</v>
      </c>
      <c r="G44" s="14">
        <v>9.6199999999999992</v>
      </c>
    </row>
    <row r="45" spans="1:7" hidden="1" outlineLevel="1" x14ac:dyDescent="0.2">
      <c r="A45" s="24">
        <v>3000000</v>
      </c>
      <c r="B45" s="14">
        <v>10.039999999999999</v>
      </c>
      <c r="F45" s="24">
        <v>3000000</v>
      </c>
      <c r="G45" s="14">
        <v>9.3800000000000008</v>
      </c>
    </row>
    <row r="46" spans="1:7" hidden="1" outlineLevel="1" x14ac:dyDescent="0.2">
      <c r="A46" s="24">
        <v>3500000</v>
      </c>
      <c r="B46" s="14">
        <v>9.83</v>
      </c>
      <c r="F46" s="24">
        <v>3500000</v>
      </c>
      <c r="G46" s="14">
        <v>9.18</v>
      </c>
    </row>
    <row r="47" spans="1:7" hidden="1" outlineLevel="1" x14ac:dyDescent="0.2">
      <c r="A47" s="24">
        <v>4000000</v>
      </c>
      <c r="B47" s="14">
        <v>9.65</v>
      </c>
      <c r="F47" s="24">
        <v>4000000</v>
      </c>
      <c r="G47" s="14">
        <v>9</v>
      </c>
    </row>
    <row r="48" spans="1:7" hidden="1" outlineLevel="1" x14ac:dyDescent="0.2">
      <c r="A48" s="24">
        <v>5000000</v>
      </c>
      <c r="B48" s="14">
        <v>9.35</v>
      </c>
      <c r="F48" s="24">
        <v>5000000</v>
      </c>
      <c r="G48" s="14">
        <v>8.73</v>
      </c>
    </row>
    <row r="49" spans="1:12" hidden="1" outlineLevel="1" x14ac:dyDescent="0.2">
      <c r="A49" s="24">
        <v>6000000</v>
      </c>
      <c r="B49" s="14">
        <v>9.11</v>
      </c>
      <c r="F49" s="24">
        <v>6000000</v>
      </c>
      <c r="G49" s="14">
        <v>8.51</v>
      </c>
    </row>
    <row r="50" spans="1:12" hidden="1" outlineLevel="1" x14ac:dyDescent="0.2">
      <c r="A50" s="24">
        <v>7000000</v>
      </c>
      <c r="B50" s="14">
        <v>8.92</v>
      </c>
      <c r="F50" s="24">
        <v>7000000</v>
      </c>
      <c r="G50" s="14">
        <v>8.32</v>
      </c>
    </row>
    <row r="51" spans="1:12" hidden="1" outlineLevel="1" x14ac:dyDescent="0.2">
      <c r="A51" s="24">
        <v>8000000</v>
      </c>
      <c r="B51" s="14">
        <v>8.75</v>
      </c>
      <c r="F51" s="24">
        <v>8000000</v>
      </c>
      <c r="G51" s="14">
        <v>8.17</v>
      </c>
    </row>
    <row r="52" spans="1:12" hidden="1" outlineLevel="1" x14ac:dyDescent="0.2">
      <c r="A52" s="24">
        <v>9000000</v>
      </c>
      <c r="B52" s="14">
        <v>8.61</v>
      </c>
      <c r="F52" s="24">
        <v>9000000</v>
      </c>
      <c r="G52" s="14">
        <v>8.0299999999999994</v>
      </c>
    </row>
    <row r="53" spans="1:12" hidden="1" outlineLevel="1" x14ac:dyDescent="0.2">
      <c r="A53" s="24">
        <v>10000000</v>
      </c>
      <c r="B53" s="14">
        <v>8.48</v>
      </c>
      <c r="F53" s="24">
        <v>10000000</v>
      </c>
      <c r="G53" s="14">
        <v>7.92</v>
      </c>
    </row>
    <row r="54" spans="1:12" hidden="1" outlineLevel="1" x14ac:dyDescent="0.2">
      <c r="A54" s="24">
        <v>11000000</v>
      </c>
      <c r="B54" s="14">
        <v>8.3699999999999992</v>
      </c>
      <c r="F54" s="24">
        <v>11000000</v>
      </c>
      <c r="G54" s="14">
        <v>7.81</v>
      </c>
    </row>
    <row r="55" spans="1:12" hidden="1" outlineLevel="1" x14ac:dyDescent="0.2">
      <c r="A55" s="24">
        <v>12000000</v>
      </c>
      <c r="B55" s="14">
        <v>8.26</v>
      </c>
      <c r="F55" s="24">
        <v>12000000</v>
      </c>
      <c r="G55" s="14">
        <v>7.72</v>
      </c>
    </row>
    <row r="56" spans="1:12" hidden="1" outlineLevel="1" x14ac:dyDescent="0.2">
      <c r="A56" s="24">
        <v>13000000</v>
      </c>
      <c r="B56" s="14">
        <v>8.17</v>
      </c>
      <c r="F56" s="24">
        <v>13000000</v>
      </c>
      <c r="G56" s="14">
        <v>7.63</v>
      </c>
    </row>
    <row r="57" spans="1:12" hidden="1" outlineLevel="1" x14ac:dyDescent="0.2">
      <c r="A57" s="24">
        <v>14000000</v>
      </c>
      <c r="B57" s="14">
        <v>8.09</v>
      </c>
      <c r="F57" s="24">
        <v>14000000</v>
      </c>
      <c r="G57" s="14">
        <v>7.55</v>
      </c>
    </row>
    <row r="58" spans="1:12" ht="13.5" hidden="1" outlineLevel="1" thickBot="1" x14ac:dyDescent="0.25">
      <c r="A58" s="16">
        <v>15000000</v>
      </c>
      <c r="B58" s="25">
        <v>8.01</v>
      </c>
      <c r="F58" s="16">
        <v>15000000</v>
      </c>
      <c r="G58" s="25">
        <v>7.48</v>
      </c>
    </row>
    <row r="59" spans="1:12" ht="49.15" customHeight="1" collapsed="1" x14ac:dyDescent="0.2">
      <c r="A59" s="369" t="s">
        <v>159</v>
      </c>
      <c r="B59" s="366"/>
      <c r="C59" s="366"/>
      <c r="D59" s="366"/>
      <c r="E59" s="366"/>
      <c r="F59" s="366"/>
      <c r="G59" s="366"/>
    </row>
    <row r="60" spans="1:12" ht="13.5" thickBot="1" x14ac:dyDescent="0.25">
      <c r="A60" s="50"/>
      <c r="B60" s="84"/>
      <c r="F60" s="50"/>
      <c r="G60" s="84"/>
    </row>
    <row r="61" spans="1:12" ht="12.75" customHeight="1" thickBot="1" x14ac:dyDescent="0.25">
      <c r="A61" s="367" t="s">
        <v>161</v>
      </c>
      <c r="B61" s="354"/>
      <c r="C61" s="354"/>
      <c r="D61" s="354"/>
      <c r="E61" s="354"/>
      <c r="F61" s="354"/>
      <c r="G61" s="354"/>
      <c r="I61" s="26" t="s">
        <v>18</v>
      </c>
      <c r="J61" s="27">
        <f>J7+J17</f>
        <v>344776</v>
      </c>
      <c r="K61" s="28">
        <f>K7+K8+K17</f>
        <v>14.365666666666666</v>
      </c>
      <c r="L61" s="57">
        <f>K61*L72/100</f>
        <v>0.13933120675905766</v>
      </c>
    </row>
    <row r="62" spans="1:12" ht="49.5" customHeight="1" x14ac:dyDescent="0.2">
      <c r="A62" s="354"/>
      <c r="B62" s="354"/>
      <c r="C62" s="354"/>
      <c r="D62" s="354"/>
      <c r="E62" s="354"/>
      <c r="F62" s="354"/>
      <c r="G62" s="354"/>
      <c r="I62" s="1" t="s">
        <v>152</v>
      </c>
      <c r="J62" s="1" t="s">
        <v>32</v>
      </c>
      <c r="K62" s="1" t="s">
        <v>32</v>
      </c>
    </row>
    <row r="63" spans="1:12" x14ac:dyDescent="0.2">
      <c r="A63" s="66"/>
      <c r="B63" s="66"/>
      <c r="C63" s="66"/>
      <c r="D63" s="66"/>
      <c r="E63" s="66"/>
      <c r="F63" s="66"/>
      <c r="G63" s="66"/>
      <c r="I63" s="1" t="s">
        <v>173</v>
      </c>
      <c r="J63" s="29">
        <f>B7*K63%</f>
        <v>12000</v>
      </c>
      <c r="K63" s="12">
        <v>0.5</v>
      </c>
      <c r="L63" s="57">
        <f>K63*L72/100</f>
        <v>4.8494514731555914E-3</v>
      </c>
    </row>
    <row r="64" spans="1:12" ht="19.5" customHeight="1" x14ac:dyDescent="0.2">
      <c r="I64" t="s">
        <v>19</v>
      </c>
      <c r="J64" s="29">
        <f>B7*K64%</f>
        <v>7200</v>
      </c>
      <c r="K64" s="12">
        <v>0.3</v>
      </c>
      <c r="L64" s="57">
        <f>K64*L72/100</f>
        <v>2.9096708838933548E-3</v>
      </c>
    </row>
    <row r="65" spans="1:12" ht="16.5" customHeight="1" x14ac:dyDescent="0.2">
      <c r="I65" s="1" t="s">
        <v>174</v>
      </c>
      <c r="J65" s="29">
        <f>B7*K65%</f>
        <v>7200</v>
      </c>
      <c r="K65" s="30">
        <v>0.3</v>
      </c>
      <c r="L65" s="57">
        <f>K65*L72/100</f>
        <v>2.9096708838933548E-3</v>
      </c>
    </row>
    <row r="66" spans="1:12" ht="67.900000000000006" customHeight="1" x14ac:dyDescent="0.2">
      <c r="A66" s="354" t="s">
        <v>197</v>
      </c>
      <c r="B66" s="354"/>
      <c r="C66" s="354"/>
      <c r="D66" s="354"/>
      <c r="E66" s="354"/>
      <c r="F66" s="354"/>
      <c r="G66" s="354"/>
      <c r="I66" s="40" t="s">
        <v>175</v>
      </c>
      <c r="J66" s="29">
        <f>B7*K66%</f>
        <v>0</v>
      </c>
      <c r="K66" s="1">
        <v>0</v>
      </c>
      <c r="L66" s="57">
        <f>K66*L72/100</f>
        <v>0</v>
      </c>
    </row>
    <row r="67" spans="1:12" ht="13.5" thickBot="1" x14ac:dyDescent="0.25">
      <c r="I67" s="226" t="s">
        <v>176</v>
      </c>
      <c r="J67" s="29">
        <f>K67%*B7</f>
        <v>0</v>
      </c>
      <c r="K67" s="225">
        <v>0</v>
      </c>
      <c r="L67" s="57">
        <f>K67*L72/100</f>
        <v>0</v>
      </c>
    </row>
    <row r="68" spans="1:12" ht="51.6" customHeight="1" thickBot="1" x14ac:dyDescent="0.25">
      <c r="A68" s="367" t="s">
        <v>178</v>
      </c>
      <c r="B68" s="367"/>
      <c r="C68" s="367"/>
      <c r="D68" s="367"/>
      <c r="E68" s="367"/>
      <c r="F68" s="367"/>
      <c r="G68" s="367"/>
      <c r="I68" s="26" t="s">
        <v>8</v>
      </c>
      <c r="J68" s="27">
        <f>SUM(J61:J67)</f>
        <v>371176</v>
      </c>
      <c r="K68" s="32">
        <f>SUM(K61:K67)</f>
        <v>15.465666666666667</v>
      </c>
      <c r="L68" s="60">
        <f>K68*L72/100</f>
        <v>0.15</v>
      </c>
    </row>
    <row r="69" spans="1:12" x14ac:dyDescent="0.2">
      <c r="A69" s="137"/>
      <c r="B69" s="137"/>
      <c r="C69" s="137"/>
      <c r="D69" s="137"/>
      <c r="E69" s="137"/>
      <c r="F69" s="137"/>
      <c r="G69" s="137"/>
      <c r="J69" s="142"/>
      <c r="K69" s="143"/>
    </row>
    <row r="70" spans="1:12" ht="31.15" customHeight="1" x14ac:dyDescent="0.2">
      <c r="A70" s="354" t="s">
        <v>193</v>
      </c>
      <c r="B70" s="355"/>
      <c r="C70" s="355"/>
      <c r="D70" s="355"/>
      <c r="E70" s="355"/>
      <c r="F70" s="355"/>
      <c r="G70" s="355"/>
    </row>
    <row r="71" spans="1:12" ht="12.75" customHeight="1" thickBot="1" x14ac:dyDescent="0.25">
      <c r="A71" s="228"/>
      <c r="B71" s="228"/>
      <c r="C71" s="228"/>
      <c r="D71" s="228"/>
      <c r="E71" s="228"/>
      <c r="F71" s="228"/>
      <c r="G71" s="228"/>
      <c r="L71" t="s">
        <v>26</v>
      </c>
    </row>
    <row r="72" spans="1:12" x14ac:dyDescent="0.2">
      <c r="B72" s="137"/>
      <c r="C72" s="137"/>
      <c r="D72" s="137"/>
      <c r="E72" s="137"/>
      <c r="F72" s="137"/>
      <c r="G72" s="137"/>
      <c r="I72" s="33" t="s">
        <v>20</v>
      </c>
      <c r="J72" s="34"/>
      <c r="K72" s="197">
        <f>ROUND(K68,0)</f>
        <v>15</v>
      </c>
      <c r="L72" s="1">
        <f>K72/K68</f>
        <v>0.96989029463111831</v>
      </c>
    </row>
    <row r="73" spans="1:12" ht="13.5" thickBot="1" x14ac:dyDescent="0.25">
      <c r="I73" s="35" t="s">
        <v>21</v>
      </c>
      <c r="J73" s="36"/>
      <c r="K73" s="169">
        <f>B7*K72/100</f>
        <v>360000</v>
      </c>
    </row>
    <row r="74" spans="1:12" ht="28.9" customHeight="1" x14ac:dyDescent="0.2">
      <c r="A74" s="367" t="s">
        <v>180</v>
      </c>
      <c r="B74" s="367"/>
      <c r="C74" s="367"/>
      <c r="D74" s="367"/>
      <c r="E74" s="367"/>
      <c r="F74" s="367"/>
      <c r="G74" s="367"/>
    </row>
  </sheetData>
  <sheetProtection selectLockedCells="1" selectUnlockedCells="1"/>
  <mergeCells count="16">
    <mergeCell ref="L4:M4"/>
    <mergeCell ref="A5:B5"/>
    <mergeCell ref="A6:B6"/>
    <mergeCell ref="A15:D15"/>
    <mergeCell ref="F15:I15"/>
    <mergeCell ref="J15:K15"/>
    <mergeCell ref="A74:G74"/>
    <mergeCell ref="A66:G66"/>
    <mergeCell ref="A70:G70"/>
    <mergeCell ref="A1:J1"/>
    <mergeCell ref="A4:I4"/>
    <mergeCell ref="J4:K5"/>
    <mergeCell ref="A61:G62"/>
    <mergeCell ref="C3:E3"/>
    <mergeCell ref="A68:G68"/>
    <mergeCell ref="A59:G59"/>
  </mergeCells>
  <pageMargins left="0.23622047244094491" right="0.19685039370078741" top="0.74803149606299213" bottom="0.74803149606299213" header="0.31496062992125984" footer="0.31496062992125984"/>
  <pageSetup paperSize="9" firstPageNumber="0" orientation="landscape" cellComments="asDisplayed"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MODE D'EMPLOI</vt:lpstr>
      <vt:lpstr>Résumé</vt:lpstr>
      <vt:lpstr>Détail</vt:lpstr>
      <vt:lpstr>Calcul Dédommagement</vt:lpstr>
      <vt:lpstr>Intégration Oeuvre d'Art</vt:lpstr>
      <vt:lpstr>Honor-Cat 1</vt:lpstr>
      <vt:lpstr>Honor-Cat 2</vt:lpstr>
      <vt:lpstr>Honor-Cat 3</vt:lpstr>
      <vt:lpstr>Honor-Cat 4</vt:lpstr>
      <vt:lpstr>Honor-Cat 5</vt:lpstr>
      <vt:lpstr>'Calcul Dédommagement'!Print_Area</vt:lpstr>
      <vt:lpstr>Détail!Print_Area</vt:lpstr>
      <vt:lpstr>'Intégration Oeuvre d''Art'!Print_Area</vt:lpstr>
      <vt:lpstr>'MODE D''EMPLOI'!Print_Area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CFWB</dc:creator>
  <cp:lastModifiedBy>Cellule architecture</cp:lastModifiedBy>
  <cp:lastPrinted>2021-07-14T06:09:25Z</cp:lastPrinted>
  <dcterms:created xsi:type="dcterms:W3CDTF">2013-07-03T14:55:48Z</dcterms:created>
  <dcterms:modified xsi:type="dcterms:W3CDTF">2024-03-07T14:15:25Z</dcterms:modified>
</cp:coreProperties>
</file>